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Marija/Desktop/BUDŽETI/Budžet 2022./"/>
    </mc:Choice>
  </mc:AlternateContent>
  <xr:revisionPtr revIDLastSave="0" documentId="13_ncr:1_{EB16FEC0-C427-8146-84AA-71C8B02CB392}" xr6:coauthVersionLast="45" xr6:coauthVersionMax="45" xr10:uidLastSave="{00000000-0000-0000-0000-000000000000}"/>
  <bookViews>
    <workbookView xWindow="300" yWindow="460" windowWidth="36920" windowHeight="18520" tabRatio="793" xr2:uid="{00000000-000D-0000-FFFF-FFFF00000000}"/>
  </bookViews>
  <sheets>
    <sheet name="фЦС ПЛАН 2022." sheetId="6" r:id="rId1"/>
    <sheet name="Sheet1" sheetId="7" r:id="rId2"/>
  </sheets>
  <definedNames>
    <definedName name="_ftn1" localSheetId="0">'фЦС ПЛАН 2022.'!#REF!</definedName>
    <definedName name="_ftnref1" localSheetId="0">'фЦС ПЛАН 2022.'!#REF!</definedName>
    <definedName name="_xlnm.Print_Area" localSheetId="0">'фЦС ПЛАН 2022.'!$A$1:$E$515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02" i="6" l="1"/>
  <c r="D138" i="6"/>
  <c r="F2" i="6" s="1"/>
  <c r="D47" i="6"/>
  <c r="D52" i="6"/>
  <c r="D58" i="6"/>
  <c r="E414" i="6"/>
  <c r="E282" i="6"/>
  <c r="E293" i="6"/>
  <c r="D50" i="6"/>
  <c r="D35" i="6"/>
  <c r="D175" i="6"/>
  <c r="D268" i="6"/>
  <c r="E269" i="6" s="1"/>
  <c r="D161" i="6"/>
  <c r="D303" i="6"/>
  <c r="E304" i="6"/>
  <c r="E197" i="6"/>
  <c r="D298" i="6"/>
  <c r="E299" i="6" s="1"/>
  <c r="E334" i="6"/>
  <c r="E499" i="6"/>
  <c r="C10" i="6" s="1"/>
  <c r="C508" i="6"/>
  <c r="D421" i="6"/>
  <c r="D418" i="6"/>
  <c r="E427" i="6"/>
  <c r="D431" i="6"/>
  <c r="D432" i="6"/>
  <c r="D430" i="6"/>
  <c r="E329" i="6"/>
  <c r="E310" i="6"/>
  <c r="E287" i="6"/>
  <c r="E274" i="6"/>
  <c r="E182" i="6"/>
  <c r="E320" i="6"/>
  <c r="C499" i="6"/>
  <c r="C507" i="6" s="1"/>
  <c r="D438" i="6"/>
  <c r="D437" i="6"/>
  <c r="E439" i="6" s="1"/>
  <c r="D436" i="6"/>
  <c r="D422" i="6"/>
  <c r="D420" i="6"/>
  <c r="E423" i="6" s="1"/>
  <c r="D408" i="6"/>
  <c r="D407" i="6"/>
  <c r="D406" i="6"/>
  <c r="D405" i="6"/>
  <c r="D404" i="6"/>
  <c r="D403" i="6"/>
  <c r="D398" i="6"/>
  <c r="D397" i="6"/>
  <c r="D396" i="6"/>
  <c r="D395" i="6"/>
  <c r="D389" i="6"/>
  <c r="D388" i="6"/>
  <c r="D387" i="6"/>
  <c r="E390" i="6" s="1"/>
  <c r="D386" i="6"/>
  <c r="D381" i="6"/>
  <c r="D380" i="6"/>
  <c r="D379" i="6"/>
  <c r="D378" i="6"/>
  <c r="D377" i="6"/>
  <c r="D376" i="6"/>
  <c r="E382" i="6" s="1"/>
  <c r="D371" i="6"/>
  <c r="D370" i="6"/>
  <c r="D369" i="6"/>
  <c r="D368" i="6"/>
  <c r="D366" i="6"/>
  <c r="D361" i="6"/>
  <c r="D360" i="6"/>
  <c r="D358" i="6"/>
  <c r="D357" i="6"/>
  <c r="E362" i="6" s="1"/>
  <c r="D352" i="6"/>
  <c r="D348" i="6"/>
  <c r="E216" i="6"/>
  <c r="D176" i="6"/>
  <c r="D168" i="6"/>
  <c r="D145" i="6"/>
  <c r="E146" i="6"/>
  <c r="D127" i="6"/>
  <c r="E6" i="7"/>
  <c r="E4" i="7"/>
  <c r="E7" i="7" s="1"/>
  <c r="E5" i="7"/>
  <c r="E325" i="6"/>
  <c r="E208" i="6"/>
  <c r="D152" i="6"/>
  <c r="D151" i="6"/>
  <c r="E155" i="6" s="1"/>
  <c r="D137" i="6"/>
  <c r="D126" i="6"/>
  <c r="D125" i="6"/>
  <c r="D115" i="6"/>
  <c r="C113" i="6" s="1"/>
  <c r="E121" i="6" s="1"/>
  <c r="D109" i="6"/>
  <c r="C105" i="6"/>
  <c r="D78" i="6"/>
  <c r="D77" i="6" s="1"/>
  <c r="D61" i="6"/>
  <c r="D60" i="6"/>
  <c r="D233" i="6"/>
  <c r="E240" i="6"/>
  <c r="D220" i="6"/>
  <c r="D186" i="6"/>
  <c r="E187" i="6"/>
  <c r="D191" i="6"/>
  <c r="E192" i="6" s="1"/>
  <c r="D169" i="6"/>
  <c r="D97" i="6"/>
  <c r="D96" i="6"/>
  <c r="D79" i="6"/>
  <c r="D73" i="6"/>
  <c r="D72" i="6"/>
  <c r="E43" i="6"/>
  <c r="D34" i="6"/>
  <c r="D359" i="6"/>
  <c r="D261" i="6"/>
  <c r="E262" i="6"/>
  <c r="D130" i="6"/>
  <c r="D135" i="6"/>
  <c r="D68" i="6"/>
  <c r="D94" i="6"/>
  <c r="E101" i="6" s="1"/>
  <c r="D95" i="6"/>
  <c r="D159" i="6"/>
  <c r="D160" i="6"/>
  <c r="E164" i="6" s="1"/>
  <c r="D76" i="6"/>
  <c r="D225" i="6"/>
  <c r="D226" i="6"/>
  <c r="D251" i="6"/>
  <c r="E252" i="6"/>
  <c r="E315" i="6"/>
  <c r="E171" i="6"/>
  <c r="D66" i="6"/>
  <c r="E84" i="6" s="1"/>
  <c r="E53" i="6"/>
  <c r="E37" i="6"/>
  <c r="C5" i="6" s="1"/>
  <c r="C503" i="6"/>
  <c r="E140" i="6"/>
  <c r="D71" i="6"/>
  <c r="E177" i="6"/>
  <c r="E372" i="6"/>
  <c r="E229" i="6"/>
  <c r="E353" i="6"/>
  <c r="E441" i="6" s="1"/>
  <c r="E399" i="6"/>
  <c r="E409" i="6"/>
  <c r="E131" i="6"/>
  <c r="E433" i="6"/>
  <c r="E62" i="6"/>
  <c r="C9" i="6"/>
  <c r="C506" i="6" l="1"/>
  <c r="C8" i="6"/>
  <c r="E210" i="6"/>
  <c r="E342" i="6"/>
  <c r="C6" i="6" l="1"/>
  <c r="C504" i="6"/>
  <c r="C505" i="6"/>
  <c r="C7" i="6"/>
  <c r="E442" i="6"/>
  <c r="C510" i="6" l="1"/>
  <c r="C12" i="6"/>
  <c r="D9" i="6" l="1"/>
  <c r="D10" i="6"/>
  <c r="D5" i="6"/>
  <c r="D8" i="6"/>
  <c r="D6" i="6"/>
  <c r="D7" i="6"/>
  <c r="D12" i="6" l="1"/>
</calcChain>
</file>

<file path=xl/sharedStrings.xml><?xml version="1.0" encoding="utf-8"?>
<sst xmlns="http://schemas.openxmlformats.org/spreadsheetml/2006/main" count="683" uniqueCount="534">
  <si>
    <t>ТОТАЛ</t>
  </si>
  <si>
    <t>Слање филмова и осталих материјала за селекцију</t>
  </si>
  <si>
    <t>Путни трошкови</t>
  </si>
  <si>
    <t>Оброци</t>
  </si>
  <si>
    <t xml:space="preserve">Преносиве акредитациjе </t>
  </si>
  <si>
    <t>Штампање каталога, позивница и постера</t>
  </si>
  <si>
    <t>Припадаjуће дневнице</t>
  </si>
  <si>
    <t>Смештаj</t>
  </si>
  <si>
    <t>Путно осигурање</t>
  </si>
  <si>
    <t>Дневнице</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</si>
  <si>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</si>
  <si>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Превод и лектура (каталог, текстови за огласе, locations)</t>
  </si>
  <si>
    <t>Авио карте</t>
  </si>
  <si>
    <t>Сарајево таленти</t>
  </si>
  <si>
    <t>Чланство</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</si>
  <si>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</si>
  <si>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Годишња чланарина</t>
  </si>
  <si>
    <t>Авионске карте</t>
  </si>
  <si>
    <t>Котизациjа за радионице</t>
  </si>
  <si>
    <t>Смештај</t>
  </si>
  <si>
    <t>Дневнице за представнике ФЦС</t>
  </si>
  <si>
    <t>Промотивни материјали на штанду (торбе, УСБ картице)</t>
  </si>
  <si>
    <t>Слање филмова и материјала</t>
  </si>
  <si>
    <t>Превоз страних експерата у локалу</t>
  </si>
  <si>
    <t>Радни ручкови</t>
  </si>
  <si>
    <t>Припрема каталога (прикупљање и обрада података и материјала за филмове)</t>
  </si>
  <si>
    <t>Превод</t>
  </si>
  <si>
    <t>Штампа</t>
  </si>
  <si>
    <t>ТОТАЛ МЕЂУНАРОДНА</t>
  </si>
  <si>
    <t>Маркет Канског филмског фестивала</t>
  </si>
  <si>
    <t>Маркет Берлинског филмског фестивала</t>
  </si>
  <si>
    <t>Сараjево филм фестивал</t>
  </si>
  <si>
    <t>Хонорари</t>
  </si>
  <si>
    <t xml:space="preserve">Дугометражни играни филм </t>
  </si>
  <si>
    <t>Комерцијални филм</t>
  </si>
  <si>
    <t>Филм са националном темом</t>
  </si>
  <si>
    <t>Развој и унапређење сценарија</t>
  </si>
  <si>
    <t>Преддигитализација и дигитализација</t>
  </si>
  <si>
    <t>Мањинске продукције</t>
  </si>
  <si>
    <t>Израда индекса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</si>
  <si>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</si>
  <si>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</si>
  <si>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</si>
  <si>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</si>
  <si>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</si>
  <si>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</si>
  <si>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</si>
  <si>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</si>
  <si>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</si>
  <si>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Плате,  додаци и накнаде запослених</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</si>
  <si>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</si>
  <si>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</si>
  <si>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</si>
  <si>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</si>
  <si>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</si>
  <si>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</si>
  <si>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</si>
  <si>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</si>
  <si>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</si>
  <si>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</si>
  <si>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</si>
  <si>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</si>
  <si>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</si>
  <si>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</si>
  <si>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</si>
  <si>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</si>
  <si>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</si>
  <si>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</si>
  <si>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</si>
  <si>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</si>
  <si>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</si>
  <si>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</si>
  <si>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</si>
  <si>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</si>
  <si>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</si>
  <si>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</si>
  <si>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</si>
  <si>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</si>
  <si>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</si>
  <si>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</si>
  <si>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</si>
  <si>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</si>
  <si>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</si>
  <si>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</si>
  <si>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</si>
  <si>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</si>
  <si>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</si>
  <si>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</si>
  <si>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</si>
  <si>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</si>
  <si>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</si>
  <si>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Опрема за образовање, науку, културу и спорт</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</si>
  <si>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</si>
  <si>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</si>
  <si>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</si>
  <si>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</si>
  <si>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</si>
  <si>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</si>
  <si>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Филмски центар Србије</t>
  </si>
  <si>
    <t>ТОТАЛ РЕДОВНА ДЕЛАТНОСТ И ИНВЕСТИЦИЈЕ</t>
  </si>
  <si>
    <t xml:space="preserve">ТОТАЛ ПРОГРАМИ </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</si>
  <si>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</si>
  <si>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</si>
  <si>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</si>
  <si>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документарни филм</t>
  </si>
  <si>
    <t>Краткометражни играни филм</t>
  </si>
  <si>
    <t>Краткометражни анимирани филм</t>
  </si>
  <si>
    <t>Краткометражни документарни филм</t>
  </si>
  <si>
    <t>Директор Филмског центра Србиjе</t>
  </si>
  <si>
    <t xml:space="preserve">ТОТАЛ ПРОГРАМИ, РЕДОВНА ДЕЛАТНОСТ И ИНВЕСТИЦИЈЕ </t>
  </si>
  <si>
    <t>РСД</t>
  </si>
  <si>
    <t>CineLink - Награда ФЦС</t>
  </si>
  <si>
    <t>Исплата накнада за време одуствовања с посла на терет фондова</t>
  </si>
  <si>
    <t>Трст - When East Meets West</t>
  </si>
  <si>
    <t>Награда филмског центра Србије за најбољи пројекат у развоју</t>
  </si>
  <si>
    <t>Радни ручак</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</si>
  <si>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</si>
  <si>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</si>
  <si>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Новчани износ награде добитнику</t>
  </si>
  <si>
    <t>Уметнички обликовани предмет</t>
  </si>
  <si>
    <t>REACT / партнерство и учешће продуцената из Србије</t>
  </si>
  <si>
    <t xml:space="preserve">Котизација за учешће српских продуцената </t>
  </si>
  <si>
    <t>Хонорар координатора програма</t>
  </si>
  <si>
    <t>Хонорар ПР</t>
  </si>
  <si>
    <t>Дизајн плаката</t>
  </si>
  <si>
    <t>Штампа плаката</t>
  </si>
  <si>
    <t>ФБ кампања</t>
  </si>
  <si>
    <t xml:space="preserve">Путни трошкови (најам возила са возачем) </t>
  </si>
  <si>
    <t>Трошкови слања филмова</t>
  </si>
  <si>
    <t>Трошкови телефона</t>
  </si>
  <si>
    <t xml:space="preserve">Организација мрежних догађаја, награде и остале услуге из области културе </t>
  </si>
  <si>
    <t>Лекутра/коректура</t>
  </si>
  <si>
    <t>Прелом и дизајн</t>
  </si>
  <si>
    <t>Ауторски хонорар</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</si>
  <si>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</si>
  <si>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</si>
  <si>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Фонд за подршку, подстицање и промоцију српског филма у земљи и свету</t>
  </si>
  <si>
    <t>Дугометражни играни филм за децу и омладину</t>
  </si>
  <si>
    <t>Дебитантски дугометражни  филм</t>
  </si>
  <si>
    <t>Отпремнина приликом одласка у пензију</t>
  </si>
  <si>
    <t>Додатна опрема на штанду</t>
  </si>
  <si>
    <t xml:space="preserve">Дневнице за представникe ФЦС </t>
  </si>
  <si>
    <t>Оглашавање у страним и домаћим филмским часописима и ПР</t>
  </si>
  <si>
    <t>15 EUR x 1 особа x 3 дана</t>
  </si>
  <si>
    <t>Акредитације за продуценте</t>
  </si>
  <si>
    <t>FIRST FILMS FIRST</t>
  </si>
  <si>
    <t>FIRST FILMS FIRST jе jеднини свеобухватни, континуални професионални тренинг програм намењен младим редитељима Jугоисточне Европе коjи развиjаjу своjе прве дугометражне игране филмове. Састоjи од 4 модула/радионице, осмишљених тако да омогуће учесницима да развиjу своj први играни филм. Седиште програма jе у Београду, где се одвиjа и наjкомплексниjа радионица. Сви људи коjи су укључени у осмишљавање и вођење програма из наше земље, FFF позиционира Србиjу на значаjно место у регионалним филмским оквирима. Имаjући у виду значаj програма, ФЦС би и наредне године партиципирао у финансиjским трошковима радонице која се одвија у Београду. Средства би као и до сада била утрошена на покривање трошкова смештаjа, путних трошкова и оброка учесника и тутора, хонораре тутора, као и дела трошкова снимања (изнаjмљивање технике за снимање и постпродукциjу).</t>
  </si>
  <si>
    <t>Део трошкова организације радионице</t>
  </si>
  <si>
    <t>Авио карте (Праг, Загреб, Љубљана - 7 авио карата)</t>
  </si>
  <si>
    <t>Путни трошкови за представника ФЦС</t>
  </si>
  <si>
    <t>Награда ”Небојша Поповић”</t>
  </si>
  <si>
    <t>Награда младе публике - Young Audience Award European film academy</t>
  </si>
  <si>
    <t>Трошкови реализације радионице</t>
  </si>
  <si>
    <t xml:space="preserve">ИДФА - промоциjа документарних филмова </t>
  </si>
  <si>
    <t xml:space="preserve">CPH: DOX - промоциjа документарних филмова  </t>
  </si>
  <si>
    <t xml:space="preserve">Радионице за документарни филм  </t>
  </si>
  <si>
    <t>FNE - Film New Europe Association</t>
  </si>
  <si>
    <t>Фонд за подршку посебним програмима</t>
  </si>
  <si>
    <t>ДДФ - Дан домаћег филма</t>
  </si>
  <si>
    <t>10.000 RSD x 5 месеци</t>
  </si>
  <si>
    <t>6.400 RSD x 8 градова x 10 обилазака</t>
  </si>
  <si>
    <t>НСФ - Ноћ српског филма</t>
  </si>
  <si>
    <t xml:space="preserve">Развој домаће филмске публике </t>
  </si>
  <si>
    <t>Смештај предавача и учесника</t>
  </si>
  <si>
    <t>Путни трошкови иностраних предавача</t>
  </si>
  <si>
    <t>Путни трошкови учесника</t>
  </si>
  <si>
    <t>5.000 РСД x 53 особе</t>
  </si>
  <si>
    <t>Стимулације (гледаност, дистрибутера домаћег филма, учешћа домаћих филмова на страним фестивалима и приказиваштва)</t>
  </si>
  <si>
    <t>Смештај за учеснике</t>
  </si>
  <si>
    <t>Филмски центар Србије у сарадњи са Независним Филмским центром - Филмарт из Пожеге стратешки помаже развој филмске критике и критичког промишљања код младих филмских професионалаца, развијањем портала ”Филмоскопија”, који је део веб стране Филмског центра Србије.
”Филмоскопиjа” у свом садржаjу нуди критике домаћих и страних остварења, есеjе коjи пропитуjу феномене у друштву користећи филм или телевизиjу као jедну од главних референци и теориjске огледе који ће у фокусу имати како историjу филма, тако и актуелна остварења и њихов значаj. Поред тога, интервjуи с филмским радницима и значаjним именима у култури, отвориће простор за диjалог и размену мишљења.</t>
  </si>
  <si>
    <t>ФИЛМОСКОПИЈА</t>
  </si>
  <si>
    <t>Репрограмирање рата са претходних конкурса</t>
  </si>
  <si>
    <t>Развој пројеката анимираног филма</t>
  </si>
  <si>
    <t>Развој пројеката дугометражног играног и документарног филма</t>
  </si>
  <si>
    <t>Караван српског филма</t>
  </si>
  <si>
    <t>2.100 RSD x 8 градова x 10 обилазака</t>
  </si>
  <si>
    <t>Најам опреме (платно, DCP пројектор, озвучење)</t>
  </si>
  <si>
    <t xml:space="preserve">2.100 RSD x 10 градова </t>
  </si>
  <si>
    <t>10.000 RSD x 10 градова</t>
  </si>
  <si>
    <t>Лектура-коректура</t>
  </si>
  <si>
    <t>Дизајн и прелом</t>
  </si>
  <si>
    <t>Занатске радионице за неформално образовање</t>
  </si>
  <si>
    <t>Одржавање радионица за преквалификацију и дошколовавање суфицитарних кадрова у кинематографији</t>
  </si>
  <si>
    <t>Најам простора</t>
  </si>
  <si>
    <t>Најам опреме потребне за реализацију радионице ( фар, кран, агрегат, расветна тела…)</t>
  </si>
  <si>
    <t>Трошкови реализације</t>
  </si>
  <si>
    <t>Павиљон, изнајмљивање простора, изградња и декорација</t>
  </si>
  <si>
    <t>2) Дани српског филма у Пули у априлу, у сарадњи са Српским културним центром</t>
  </si>
  <si>
    <t>Трошкови на штанду</t>
  </si>
  <si>
    <t>ПР - промоција активности ФЦС</t>
  </si>
  <si>
    <t>%</t>
  </si>
  <si>
    <t>ОСКАР - номинациjа и подршка учешћу филма кандидата из Србиjе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</si>
  <si>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</si>
  <si>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Укупни трошкови промоције номинованог филма</t>
  </si>
  <si>
    <t>Дневнице за представника ФЦС</t>
  </si>
  <si>
    <t>Стална активност ФЦС у промоцији српског филма је и подршка продуцентским кућама у слању промотивних материјала и DCP-јева фестивалима и филмским смотрама. За оне фестивале који немају праксу да ове трошкове покривају, ФЦС чини у интересу продуцентских кућа.</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</si>
  <si>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</si>
  <si>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t>
  </si>
  <si>
    <t>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конкурс ФЦС за мањинске копродукциjе и начини аплицирања.</t>
  </si>
  <si>
    <t>Путни трошкови - 4 авионскe карте</t>
  </si>
  <si>
    <t>15 EUR х 10 дана x 4 особе</t>
  </si>
  <si>
    <t>Путни трошкови - 6 авионских карата</t>
  </si>
  <si>
    <t xml:space="preserve">САРАДЊА СА ФРАНЦУСКОМ ПО СПОРАЗУМУ У ОБЛАСТИ ФИЛМА </t>
  </si>
  <si>
    <t>Трансфер (од и до аеродрома и у локалу)</t>
  </si>
  <si>
    <t>Радионица за анимирани филм - партнерство са Филмским центром Србије</t>
  </si>
  <si>
    <t>Трошкови организације 4 радионице</t>
  </si>
  <si>
    <t>Смештај у Београду</t>
  </si>
  <si>
    <t>Смештај у Annecy (Фестивал анимираног филма)</t>
  </si>
  <si>
    <t>Авионске карте за француске експерте</t>
  </si>
  <si>
    <t>Реализације сарадње између Француске и Србије на основу Уговора које су потписале Владе Србије и Француске приликом посете г. Макрона. Циљ је повећање броја билатералних копродукција, унапређење квалитета сарадње између две кинематографије, као и помоћ и подршка француских експерата у области анимације, централизације бископских Box office, аудио-визуелног закона и других области кинематографије.</t>
  </si>
  <si>
    <t>Као и сваке године, једно од стратешки важних тачака за промоцију српског филма је Сарајево филм фестивал. Филмови из Србије су у виће наврата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и спонзорише награду за најбољи пројекат на CineLinku.</t>
  </si>
  <si>
    <t>Aкредитације за учеснике</t>
  </si>
  <si>
    <t>Путни трошкови (2 представника ФЦС и представник документариста + 3 продуцента)</t>
  </si>
  <si>
    <t>15 EUR x 2 особе x 4 дана</t>
  </si>
  <si>
    <t>40.000 RSD x 5 oсоба</t>
  </si>
  <si>
    <t>Путни трошкови (представник ФЦС и представник документариста + 3 продуцента/аутора)</t>
  </si>
  <si>
    <t>ДОМАЋА САРАДЊA</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</si>
  <si>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2021. </t>
  </si>
  <si>
    <t>15 ЕUR * 2 дана</t>
  </si>
  <si>
    <t>Чланство у Европској филмској промоцији (European Film Promotion)</t>
  </si>
  <si>
    <t>Оглашавање и ПР у страним и домаћим филмским часописима у циљу промоције српске кинематографије.</t>
  </si>
  <si>
    <t xml:space="preserve">Оглашавање у медијима </t>
  </si>
  <si>
    <t>Изнајмљивање сале</t>
  </si>
  <si>
    <t>500 ЕУР * два дана</t>
  </si>
  <si>
    <t>6.000 RSD x 2 месеца</t>
  </si>
  <si>
    <t xml:space="preserve">Рад на развоју независне биоскопске мреже </t>
  </si>
  <si>
    <t>МЕЂУНАРОДНА САРАДЊА</t>
  </si>
  <si>
    <t>10.000 RSD x 3 месеца</t>
  </si>
  <si>
    <t>6.000 RSD x 3 месеца</t>
  </si>
  <si>
    <t>2.000 RSD x 3  месеца</t>
  </si>
  <si>
    <t>2.000 RSD x 3 месеца</t>
  </si>
  <si>
    <t>TОТАЛ ДОМАЋА САРАДЊА</t>
  </si>
  <si>
    <t>ДОМАЋА САРАДЊА</t>
  </si>
  <si>
    <t xml:space="preserve">Експерти за сценарио </t>
  </si>
  <si>
    <t>2000 EUR * 2 особе</t>
  </si>
  <si>
    <t>Дигитализација и рестаурација  U - MATIC трака</t>
  </si>
  <si>
    <t>Филмски центар Србије завршио је попис и документацију свих материјалних добара и докумената у својим магацинима и сматрамо да би било неопходно сачувати одређене снимке и документе, од којих су већина из краја 70-их и 80-их. Такође неопходна је дигитализација Годишњака ради лакшег сналажења и проналажења материјала.</t>
  </si>
  <si>
    <t>Дигитализација и рестаурација грађе Филмског центра Србије</t>
  </si>
  <si>
    <t>Лекутра-коректура</t>
  </si>
  <si>
    <t xml:space="preserve">Дизајн и трошкови прелома </t>
  </si>
  <si>
    <t>ROBERT MCKEE: DIALOGUE</t>
  </si>
  <si>
    <t>Лектура - коректура</t>
  </si>
  <si>
    <t>ЕЛЕКТРОНСКЕ КЊИГЕ</t>
  </si>
  <si>
    <t>2.1.</t>
  </si>
  <si>
    <t>2.2.</t>
  </si>
  <si>
    <t>2.3.</t>
  </si>
  <si>
    <t>2.4.</t>
  </si>
  <si>
    <t>2.6.</t>
  </si>
  <si>
    <t>2.7.</t>
  </si>
  <si>
    <t>2.8.</t>
  </si>
  <si>
    <t>2.9.</t>
  </si>
  <si>
    <t>2.5.</t>
  </si>
  <si>
    <t>2.10.</t>
  </si>
  <si>
    <t>2.11.</t>
  </si>
  <si>
    <t>2.13.</t>
  </si>
  <si>
    <t>2.15.</t>
  </si>
  <si>
    <t>2.16.</t>
  </si>
  <si>
    <t>2.17.</t>
  </si>
  <si>
    <t>3.1.</t>
  </si>
  <si>
    <t>3.2.</t>
  </si>
  <si>
    <t>3.3.</t>
  </si>
  <si>
    <t>3.4.</t>
  </si>
  <si>
    <t>3.5.</t>
  </si>
  <si>
    <t>3.6.</t>
  </si>
  <si>
    <t>3.7.</t>
  </si>
  <si>
    <t>3.8.</t>
  </si>
  <si>
    <t>3.9.</t>
  </si>
  <si>
    <t>3.12.</t>
  </si>
  <si>
    <t>3.13.</t>
  </si>
  <si>
    <t>3.14.</t>
  </si>
  <si>
    <t>3.15.</t>
  </si>
  <si>
    <t>3.16.</t>
  </si>
  <si>
    <t>3.17.</t>
  </si>
  <si>
    <t xml:space="preserve">Конференциjа намењена приказивачима и дистрибутерима. Има за циљ размену искустава домаћих приказивача и предавања релеватних европских стручњака о новим приступима развоjа биоскопске публике у Србиjи.
 </t>
  </si>
  <si>
    <t>Израда плана и програма три недеље радионица за занимање по секторима ( четири сектора друге године - камера, режија, продукција и специјални ефекти ) и предавачи</t>
  </si>
  <si>
    <t>Оперативни трошкови (хонорари чланова комисије и организација гласања)</t>
  </si>
  <si>
    <t>Материјали за саобраћај</t>
  </si>
  <si>
    <t>Аутомобил</t>
  </si>
  <si>
    <t>ДАН ДОМАЋЕГ ФИЛМА је програм посвећен промоцији домаћег документарног филмског стваралаштва у 30 градова. Подразумева пројекције филмова чију је производњу помогао Филмски центар Србије. Представљамо филмове који уобичајено нису на биоскопском репертоару, а који заслужују да буду виђени. После сваке пројекције публика ће бити у прилици да разговара са ауторима филма. Манифестација је планирана за последњу недељу октобра месеца.</t>
  </si>
  <si>
    <t>Капитално одржавање зграда и објеката</t>
  </si>
  <si>
    <t>2.18.</t>
  </si>
  <si>
    <t>Помоћ у медицинском лечењу запосленог</t>
  </si>
  <si>
    <t>5.000 ЕУР.</t>
  </si>
  <si>
    <t>1.525.000 RSD.</t>
  </si>
  <si>
    <t>160.000 RSD.</t>
  </si>
  <si>
    <t>1.500 EUR.</t>
  </si>
  <si>
    <t>500 EUR.</t>
  </si>
  <si>
    <t>20.000 РСД.</t>
  </si>
  <si>
    <t>5.000 РСД.</t>
  </si>
  <si>
    <t>150.000 RSD.</t>
  </si>
  <si>
    <t>30.000 RSD.</t>
  </si>
  <si>
    <t>8.000 EUR.</t>
  </si>
  <si>
    <t>10.000 EUR.</t>
  </si>
  <si>
    <t>600 EUR.</t>
  </si>
  <si>
    <t>5.000 EUR.</t>
  </si>
  <si>
    <t>400 EUR.</t>
  </si>
  <si>
    <t>4400 EUR.</t>
  </si>
  <si>
    <t>2200 EUR.</t>
  </si>
  <si>
    <t>3500 EUR.</t>
  </si>
  <si>
    <t>2500 EUR.</t>
  </si>
  <si>
    <t>800 EUR.</t>
  </si>
  <si>
    <t>3000 EUR.</t>
  </si>
  <si>
    <t>2000 EUR.</t>
  </si>
  <si>
    <t>1000 EUR.</t>
  </si>
  <si>
    <t>300 EUR.</t>
  </si>
  <si>
    <t>2500EUR.</t>
  </si>
  <si>
    <t>1200 EUR.</t>
  </si>
  <si>
    <t>1230 EUR.</t>
  </si>
  <si>
    <t>ПЛАН И ПРОГРАМ ЗА 2022. ГОДИНУ</t>
  </si>
  <si>
    <t>ПРИКАЗ ПЛАНИРАНИХ РАСХОДА ФЦС У 2022.</t>
  </si>
  <si>
    <t>Самостално снимљени филм</t>
  </si>
  <si>
    <t>2.000.0000 РСД</t>
  </si>
  <si>
    <t>Ови програми су годишње манифестациjе, већ етаблиране, са коjима ФЦС сарађуjе. Оне су модел за нове манифестациjе коjе се редовно поjављуjу.</t>
  </si>
  <si>
    <t>60.000 РСД * 2 особе</t>
  </si>
  <si>
    <t>100 ЕУР * 2 особе * 3 ноћења</t>
  </si>
  <si>
    <t>40.000 РСД</t>
  </si>
  <si>
    <t>75.000 РСД * 3 особа</t>
  </si>
  <si>
    <t>150 ЕУР * 3 особе * 3 ноћења</t>
  </si>
  <si>
    <t>Франуско-српски сусрети ФАФ</t>
  </si>
  <si>
    <t>Маркет у Кану је, традиционално, најзначајније место за промоцију кинематографије. Наредно издање овог фестивала је изузетна прилика да се крунишу напори који су учињени током 2021.  и представе сви они филмови који су већ побрали велику пажњу међународне и домаће јавности као и филмови који још увек нису имали светску премијеру. Већ етаблирани регионални штанд у Кану jе идеална позициjа за промоциjу српског филма.</t>
  </si>
  <si>
    <t>280.000 RSD.</t>
  </si>
  <si>
    <t>65.000 RSD x 4 особе</t>
  </si>
  <si>
    <t>12.000 RSD  x 4 особе</t>
  </si>
  <si>
    <t>2.000 EUR.</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</si>
  <si>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2022. треба платити заостале обавезе, а током септембра 2022. треба платити обавезе за организациjу учешћа на Маркету 2023.</t>
  </si>
  <si>
    <t>II део трошкова за Маркет  2022. јануар 2022.</t>
  </si>
  <si>
    <t>Дизајн каталога, огласа и постера</t>
  </si>
  <si>
    <t>Штампање каталога</t>
  </si>
  <si>
    <t>Мрежни догађаји</t>
  </si>
  <si>
    <t>Трошкови на штанду и репрезентација</t>
  </si>
  <si>
    <t>Штанд и најам опреме за штанд (штанд, панели, намештај media wall)</t>
  </si>
  <si>
    <t>Roll-up , Press Wall</t>
  </si>
  <si>
    <t>Акредитације</t>
  </si>
  <si>
    <t>Преносиве акредитације</t>
  </si>
  <si>
    <t>I део трошкова за Маркет 2023, септембар 2022.</t>
  </si>
  <si>
    <t>120.000 RSD</t>
  </si>
  <si>
    <t>15.000 EUR</t>
  </si>
  <si>
    <t>16 EUR * 6 особа  * 8 дана</t>
  </si>
  <si>
    <t>1.000 EUR</t>
  </si>
  <si>
    <t>1.200 EUR.</t>
  </si>
  <si>
    <t>500 EUR</t>
  </si>
  <si>
    <t>6.500 EUR.</t>
  </si>
  <si>
    <t>330 EUR</t>
  </si>
  <si>
    <t>200 EUR</t>
  </si>
  <si>
    <t xml:space="preserve">Чланство </t>
  </si>
  <si>
    <t>40.000 EUR.</t>
  </si>
  <si>
    <t>400  EUR x 3 + 200 EUR x 4</t>
  </si>
  <si>
    <t>450 ЕUR x 5</t>
  </si>
  <si>
    <t>500  ЕUR</t>
  </si>
  <si>
    <t>У оквиру ИДФА - Међународног фестивала документарног филма у Амстердаму (новембар 2022), коjи jе jедан од наjвећих и наjважниjих фестивала документарног филма на свету, ФЦС планира представљање српских документарних филмова, имајући у виду веома позитивно искуство из претходних година. Такође, имаjући у виду да класичан маркет не постоjи и да продуценти самостално врше промоциjу у оквиру програма "Docs for Sale".</t>
  </si>
  <si>
    <t>CPH:DOX jе званично име међународног фестивала документарних филмова у Копенхагену. Ово jе наjвећи фестивал документарних филмова у Скандинавиjи, и jедан од наjутицаjниjих фестивала документарних филмова у свету. Фокус фестивала jе на независни документарни филм коjи се одликуjе иновативним приступом, као и на експерименталне и хибридне филмове. Паралелно са фестивалом се одржаваjу индустри програми: CPH FORUM, CPH Conference, CPH Academy, CPH LAB i SCIENCE FILM FORUM и други. Имајући у виду веома позитивно искуство из 2019. године (2020. i 2021. фестивал је одржан on-line, уз смањен обим), идеја је да се настави сарадња са CPH:DOX фестивалом и у 2022. години. Концепт CPH FORUM-а је јединствен за ову врсту представљања пројеката као и  начин укључивања панелиста који служи за стварање окружења које стварно охрабрујуће делује на ауторе / продуценте који пројекат представљају.</t>
  </si>
  <si>
    <t>150 EUR x 5 особа x 3 ноћења</t>
  </si>
  <si>
    <t>Producers on the Move, април-мај 2022.</t>
  </si>
  <si>
    <t>2.14.</t>
  </si>
  <si>
    <t>EFAD - чланство</t>
  </si>
  <si>
    <t>ЕФАД (удружење директора европских филмских агенција) - окупљају директоре националних филмских фондова европских земаља. 35 чланица ЕФАД-а су државни ограни или институције повезане са владом, задужене за национално финансирање аудио-визуелног сектора и са одговорношћу да саветују или регулишу све аспекте аудио-визуелне политике. ФЦС је пуноправни члан ЕФАД-а од 2019. године.</t>
  </si>
  <si>
    <t>500 ЕУР.</t>
  </si>
  <si>
    <t>Чланство за 2022.</t>
  </si>
  <si>
    <t>32.000 RSD x 3 месеца</t>
  </si>
  <si>
    <t>30.000 РСД</t>
  </si>
  <si>
    <t>Хонорари иностраних предавача</t>
  </si>
  <si>
    <t>Хонорари координатора програма</t>
  </si>
  <si>
    <t>Дигитализација и рестаурација  осталих формата (Бета, Бета  2000, Магнетоскоп)</t>
  </si>
  <si>
    <t>Дигитализација и архивирање штампане архивске грађе (Годишњаци, дописи и сл.)</t>
  </si>
  <si>
    <t>Рестаурација и дигитализација филмски свезака</t>
  </si>
  <si>
    <t>АФИФС</t>
  </si>
  <si>
    <t>Подршка</t>
  </si>
  <si>
    <t xml:space="preserve">Трошкови организације </t>
  </si>
  <si>
    <t xml:space="preserve">ТОТАЛ </t>
  </si>
  <si>
    <t>120.000 RSD.</t>
  </si>
  <si>
    <t xml:space="preserve">”Марко Глушац” наградa се додељује најперспективнијем млађем монтажеру дугих и кратких, играних и документарних форми.
То признање већ седму годину за редом додељује Фондација "Марко Глушац", коју су основали редитељи, продуценти, монтажери и пријатељи, људи који су сарађивали са Марком, једним од наших највећих филмских монтажера. </t>
  </si>
  <si>
    <t>Награда ”Марко Глушац”</t>
  </si>
  <si>
    <t>2.19.</t>
  </si>
  <si>
    <t>КОНКУРСИ - План и програм  2022.</t>
  </si>
  <si>
    <t>u programu</t>
  </si>
  <si>
    <t>distributeri - do 10.000e</t>
  </si>
  <si>
    <t>ZA IGRANI</t>
  </si>
  <si>
    <t>ZA MANJINSKI</t>
  </si>
  <si>
    <t>5000e</t>
  </si>
  <si>
    <t>za dokumentarni</t>
  </si>
  <si>
    <t>producenti koji nemaju distributera</t>
  </si>
  <si>
    <t>pravilnik za konkurs</t>
  </si>
  <si>
    <t xml:space="preserve">1. urednistvo sajta FCS, FB, </t>
  </si>
  <si>
    <t>2. budget za promociju celovecernjih igranih filmova</t>
  </si>
  <si>
    <t>Roterdam</t>
  </si>
  <si>
    <t>Karlove Vari</t>
  </si>
  <si>
    <t>San Sebastijan</t>
  </si>
  <si>
    <t>Lokarno</t>
  </si>
  <si>
    <t>3. medjunarodnja saradnja Evropa</t>
  </si>
  <si>
    <t>ugostiti direktore velikih festivala 15 tak ljudi 6 noci</t>
  </si>
  <si>
    <t>prikazati celovecernje filmove</t>
  </si>
  <si>
    <t>4. Nacionalni festival</t>
  </si>
  <si>
    <t>uvecati 25%  50 mil</t>
  </si>
  <si>
    <t>5. debitantski film  I I II film</t>
  </si>
  <si>
    <t>6. izbaciti Circles</t>
  </si>
  <si>
    <t>15 EUR х 4 дана*3 особе</t>
  </si>
  <si>
    <t>40.000. x3 особе</t>
  </si>
  <si>
    <t>Анимација (Радионица за анимацију) у Београду</t>
  </si>
  <si>
    <t xml:space="preserve">Авионске карте за српске аниматоре (3) </t>
  </si>
  <si>
    <t>45.000 RSD * 6 особа</t>
  </si>
  <si>
    <t>30.000 RSD x 5 особе</t>
  </si>
  <si>
    <t>90 EUR x 3 дана x 5 особе</t>
  </si>
  <si>
    <t>35.000 RSD x 6 чланова делегације</t>
  </si>
  <si>
    <t>15 EUR x 4 дана  x 2 особe</t>
  </si>
  <si>
    <t>60.000 x 5 особа</t>
  </si>
  <si>
    <t>220 EUR x 5 особе x 3 ноћења</t>
  </si>
  <si>
    <t>3.000 EUR.</t>
  </si>
  <si>
    <t>25.000 RSD.</t>
  </si>
  <si>
    <t>Подршка реализације</t>
  </si>
  <si>
    <t>Анимација (Радионица за анимацију) у Француској</t>
  </si>
  <si>
    <t>15 EUR x 4 дана x 5 особа</t>
  </si>
  <si>
    <t>Уредништво сајта ФЦС-а, друштвених мрежа итд</t>
  </si>
  <si>
    <t>Уређење сајта ФЦС и текстова на друштвеним мрежама</t>
  </si>
  <si>
    <t>Хотелски смештај  (10 особе x 6 ноћења)</t>
  </si>
  <si>
    <t>Авио карте (10 особа)</t>
  </si>
  <si>
    <t>450 EUR x 10  особа</t>
  </si>
  <si>
    <t>REACT је заједничка развојна иницијатива (Италија, Словенија, Хрватска) коју је 2015. године италијански ФВГ аудиовизуелни фонд.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Од 2019. године Србија је уз Словенију, Италију и Хрватску пуноправни члан REACT-а и самим тим српски филмски професионалци су сада у прилици да похађаjу броjне REACT радионице и да се приjављуjу за програм копродукционог финансирања у склопу поменуте инциjативе. ФЦС би сносио трошкове транспорта за учеснике из Србије, а сами учесници би сносили трошкове смештаја. У 2020. два српска филма добила су подршку за развој.</t>
  </si>
  <si>
    <t xml:space="preserve">BPX - Best Praktice Exchange основан jе 2012. године, како би се охрабрила размена и сарадња између филмских фондова. Два пута годишње организуjу се (у Берлину и Кану) састанци представника фондова како би разменили идеjе и искуства. Током 2020. и 2021. године организовани су онлине састанци на коjима се расправљало о ефектима пандемиjе, као и о инициjативама коjе су фондови предузели да би се прилагодили „новоj реалности“. </t>
  </si>
  <si>
    <t>Како би се унапредио садржаj саjта Филмског центра Србиjе и осталих медиjа где ФЦС обjављуjе своjе вести идеjа jе да се ангажуjе уредник коjи би уређивао и прослеђивао медиjске садржаjе.</t>
  </si>
  <si>
    <t>Студио за анимирани филм Фуруна и Омладинска престоница Европе Нови Сад (ОПЕНС) планираjу да у 2022. години одрже 4 радионице анимациjе за средњошколце и студенте из Воjводине и целе Србиjе са траjањем од по 3 месеца. ОПЕНС jе краjем 2020. године у сарадњи са Матицом Српском одабрао 6 познатих српских пословица, а крајем 2021. године расписаће конкурс за средње школе Воjводине да ученици напишу сценарио на тему тих 6 пословица. Студио Фуруна ће одабрати по 7 до 9 полазника по радионици и са њима уз детаљну супервизиjу и менторство произвести по jедан анимирани филм на свака 3 месеца. Млади талентовани аниматори ће на наjбољи начин проћи кроз све фазе израде кратког филма: развоj, продукциjу, обраду и све принципе и техничке аспекте овог креативног процеса.</t>
  </si>
  <si>
    <t xml:space="preserve">Гостовање директора великих светских фестивала у Београду </t>
  </si>
  <si>
    <t>Гостовање директора великих светских фестивала у Београду - презентације домаће продукције. Идеја је да се једном годишње у сали српског филма организује приказивање српских филмова који су у постпродукцији представницима највећих светских филмских фестивала (Берлин, Кан, Венеција, Сан Себастијан, Торонто и др). Такође, Филмски центар Србије би организовао и састанке представнике фестивала са продуцентима филмова.</t>
  </si>
  <si>
    <t>ИЗДАВАШТВО - план и програм 2022.</t>
  </si>
  <si>
    <t>Филмски центар Србије током 2022. године намерава да распише конкурсе у 22 конкурснe категоријe.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Почев од 2017. године, а по налогу Државне ревизије, Филмски центар Србије уплаћује средства добитницима на рачуне отворене код Управе за трезор. За све конкурсне категорије, осим дугметражног играног филма, уплаћују се комплетна средства. Начин финансирања дугометражних играних филмова подразумева вишегодишње планирање средстава, те из стог разлога постоји посебна позиција за дуговања из које се исплаћују средства за догометражне игране филмове који улазе у продукцију у 2022. години.</t>
  </si>
  <si>
    <t>2.12.</t>
  </si>
  <si>
    <t>НОЋ СРПСКОГ ФИЛМА је програм посвећен промоцији домаћег филмског стваралаштва у више од 30 градова. Пројекције филмова чију је производњу помогао Филмски центар Србије.Трећа по реду jеднодневна манифестациjа Филмског центра Србиjе „Ноћ српског филма“ у партнерству са локалним биоскопима, продуцентима и дистрибутерима филмова, планирана је за 5. јун 2022. (годишњица прве пројекције филма у Србији). Публика различитих старосних генерациjа има прилику да погледа наjгледаниjе дугометраже игране филмове из текуће године, али и неколико кратких играних филмова финансираних од стране ФЦС.</t>
  </si>
  <si>
    <t>Филмски центар Србије подстакао је мале приказиваче да се удруже у независну биоскопску мрежу како би заједнички развијали филмску културу широм Србије. У 2022. ФЦС жели да учествује у даљем ширењу независне биоскопске мреже и професионалном усавршавању филмских уредника и кинооператера у независној биоскопској мрежи, што је логичан наставак дигитализацији биоскопа широм Србије.</t>
  </si>
  <si>
    <t>Током 2021. године 7 домаћих филмских фестивала који приказују дугометражне игране филмове формирало је Мрежу која има за циљ да заједничким деловањем допринесу развојз приказивања и домаће кинематографије уопште. Чланови Мреже су: Фестивал европског филма Палић, Лесковачки интернационални фестивал филмске режије, Фестивал глумачких остбварења домаћег играног филма "Филмки сусрети Ниш", Фестивал ауторског филма Београд, Фестивал филмског сценарија Врњачка бања, Међународни филмски фестивал сниматељских остварења "Слика у покрету" и Шумадијски интернационални фестивал дебитантског филма. Циљеви Мреже су: 1.Умрежавање и сарадња чланица;  2. Промоција сваке чланице и њених издања; 3. Заједничка промоција; 4. Одржавање струковних радионица; 5. Додела струковних награда.</t>
  </si>
  <si>
    <t>Караван српског филма је десетодневна манифестација која је замишљена да се одвија у децембру месецу, сваке године када би биоскопска публика у мањим градовима у којима не постоје дигитализовани биоскопи, имала прилике да види дугометражне игране и документарне филмове, подржане од стране Филмског центра Србије, који су премијерно приказани током 2020. и 2021. године. Ова манифестација би била организована у сарадњи са локалним самоуправама.</t>
  </si>
  <si>
    <t>3.10.</t>
  </si>
  <si>
    <t>3.18.</t>
  </si>
  <si>
    <t>3.19.</t>
  </si>
  <si>
    <t>4.1.</t>
  </si>
  <si>
    <t>4.2.</t>
  </si>
  <si>
    <t>4.4.</t>
  </si>
  <si>
    <t>4.5.</t>
  </si>
  <si>
    <t>4.6.</t>
  </si>
  <si>
    <t>4.7.</t>
  </si>
  <si>
    <t>4.8.</t>
  </si>
  <si>
    <t>4.9.</t>
  </si>
  <si>
    <t>4.10.</t>
  </si>
  <si>
    <t>4.11.</t>
  </si>
  <si>
    <t>БЕОГРАДСКИ МЕЂУНАРОДНИ САЈАМ КЊИГА 2022.</t>
  </si>
  <si>
    <t>СТЕФАН АРСЕНИЈЕВИЋ: РАЗГОВОРИ СА СРЂАНОМ КАРАНОВИЋЕМ</t>
  </si>
  <si>
    <t>Скенирање фотографија, постера и докумената</t>
  </si>
  <si>
    <t>4000 EUR.</t>
  </si>
  <si>
    <t>900  EUR.</t>
  </si>
  <si>
    <t>1500 EUR.</t>
  </si>
  <si>
    <t>750 EUR.</t>
  </si>
  <si>
    <t>3800 EUR.</t>
  </si>
  <si>
    <t>САША РАДОЈЕВИЋ: СРПСКИ ФИЛМ ПЕДЕСЕТЕ ГОДИНЕ</t>
  </si>
  <si>
    <t>2600 EUR.</t>
  </si>
  <si>
    <t>250 EUR.</t>
  </si>
  <si>
    <t>БРАНКО ВУЧИЋЕВИЋ: ЦЕЛОКУПНА ДЕЛА 5</t>
  </si>
  <si>
    <t>Скенирање материјала и визуелни прилози</t>
  </si>
  <si>
    <t>1700  EUR.</t>
  </si>
  <si>
    <t>ДИЈАНА МЕТЛИЋ: СТЕНЛИ КЈУБРИК ИЗМЕЂУ СЛИКАРСТВА И ФИЛМА</t>
  </si>
  <si>
    <t>Ауторски хонорар /анекс уговора/</t>
  </si>
  <si>
    <t>700 EUR.</t>
  </si>
  <si>
    <t>МИЛАН НИКОДИЈЕВИЋ: ЗАБРАЊЕНИ БЕЗ ЗАБРАНЕ</t>
  </si>
  <si>
    <t>Скенирање визуелног материјала</t>
  </si>
  <si>
    <t>Тираж: 500 страна</t>
  </si>
  <si>
    <t>Тираж :350</t>
  </si>
  <si>
    <t>Тираж: 500</t>
  </si>
  <si>
    <t>Тираж:  500</t>
  </si>
  <si>
    <t>Тираж: 300</t>
  </si>
  <si>
    <t>Тираж: 1000</t>
  </si>
  <si>
    <t>Подршка  (Филмски центар Србије ко-издавач)</t>
  </si>
  <si>
    <t>4.12.</t>
  </si>
  <si>
    <t xml:space="preserve">Огласи у новинама, израда плаката </t>
  </si>
  <si>
    <t>Зигфрид Кракауер: ПРИРОДА ФИЛМА I-II</t>
  </si>
  <si>
    <t>Акира Куросава: НЕШТО КАО АУТОБИОГРАФИЈА</t>
  </si>
  <si>
    <t>ФОНД ЗА ПОМОЋ ДРУГИМ ИЗДАВАЧИМА</t>
  </si>
  <si>
    <t>3.11.</t>
  </si>
  <si>
    <t>Гордан Матић</t>
  </si>
  <si>
    <t>4.3.</t>
  </si>
  <si>
    <t>САЛА СРПСКОГ ФИЛМА</t>
  </si>
  <si>
    <t>МАРКЕТИНГ И ПРОМОЦИЈА АКТИВНОСТИ ФИЛМСКОГ ЦЕНТРА СРБИЈЕ</t>
  </si>
  <si>
    <t>Маркетинг кампања и промоција програма и активности Филмског центра Србије у електронским и штампаним медијима и друштвеним мрежама</t>
  </si>
  <si>
    <t>Трошкови промоције и маркетиншке кампање</t>
  </si>
  <si>
    <t xml:space="preserve">Хонорари кустоса програма </t>
  </si>
  <si>
    <t>350 EUR. х 9 циклуса</t>
  </si>
  <si>
    <t>Blake Snyder: SAVE THE CAT!</t>
  </si>
  <si>
    <t xml:space="preserve">Годишњи програм промоције филмова добитника на конкурсима Филмског центра Србије у биоскопској сали - Сали српског филма. </t>
  </si>
  <si>
    <t>Организација, израда, објављивање и промоција текстова за потребе портала ”Филмоскопија”</t>
  </si>
  <si>
    <t>Авио карте гостију</t>
  </si>
  <si>
    <t>800.000 РСД</t>
  </si>
  <si>
    <t>Смештај гостију у Београду</t>
  </si>
  <si>
    <t>400.000 РСД</t>
  </si>
  <si>
    <t>Атеље Варан</t>
  </si>
  <si>
    <t>3.000.000 РСД</t>
  </si>
  <si>
    <t>FEST - FEST FORWARD</t>
  </si>
  <si>
    <t xml:space="preserve">FEST FORWARD jе индустриjски део Београдског  филмског фестивала FEST коjим се представља значаjан искорак у даљем развоjу FEST. Fest Forward Business to Business програм jе тродневна манифестациjа у оквиру Београдског FEST-а, коjи чине место професионалних сусрета међународних филмских професионалаца кроз сериjа предавања, радионица (workshop-ова),  представљања нових проjеката и филмова у фази постпродукциjе и других програма. Програмсклу платформу и основ ових сусрета и активности чини унапређење положаjа домаће филмске индустриjе, и у самом почетку унапређивање и осавремењивање регионалног продукционог окружења. </t>
  </si>
  <si>
    <t>Организација програма</t>
  </si>
  <si>
    <t>6.000.000 РСД</t>
  </si>
  <si>
    <t xml:space="preserve"> BPX</t>
  </si>
  <si>
    <t>7х 1.000.000 РСД</t>
  </si>
  <si>
    <t>ФИЛСКЕ СВЕСКЕ -ТЕМАТСКИ БРОЈ ЖАНР</t>
  </si>
  <si>
    <t xml:space="preserve">Ауторска права </t>
  </si>
  <si>
    <t>БЕРТ РЕБХАНДЛ: ЛИК ГОДАР - ПЕРМАНЕНТНИ РЕВОЛУЦИОНАР</t>
  </si>
  <si>
    <t>32.000 RSD x 3 месеци</t>
  </si>
  <si>
    <t>4 х 500.000 РСД.</t>
  </si>
  <si>
    <t>300 ЕUR x 2 особе</t>
  </si>
  <si>
    <t>14.166 EUR.</t>
  </si>
  <si>
    <t>95.000 RSD x 10 градова</t>
  </si>
  <si>
    <t xml:space="preserve">200  х 10 особе х 3 дана </t>
  </si>
  <si>
    <t>3.000 RSD x 40 учесника</t>
  </si>
  <si>
    <t>40.000 РСД x 2 предавача</t>
  </si>
  <si>
    <t>5830 EUR.</t>
  </si>
  <si>
    <t xml:space="preserve">150.000 RSD. </t>
  </si>
  <si>
    <t>9.580 EUR</t>
  </si>
  <si>
    <t>510 EUR.</t>
  </si>
  <si>
    <t>32 EUR x 8 особа</t>
  </si>
  <si>
    <t>800.000 РСД.</t>
  </si>
  <si>
    <t>4.1660 ЕУР.</t>
  </si>
  <si>
    <t>1) Фестивал српског филма у Чикагу</t>
  </si>
  <si>
    <t>120.000 RSD x 2 особе</t>
  </si>
  <si>
    <t>Суфинансирање дистрибуције домаћих филмова у Србији</t>
  </si>
  <si>
    <t>Meet2meet / Сусрет француских и српских аниматора</t>
  </si>
  <si>
    <t>Дизајн каталога, огласа, позивница и постера</t>
  </si>
  <si>
    <t>Авио превоз за представникe ФЦС и 4 одабрана продуцента са пројектима</t>
  </si>
  <si>
    <t xml:space="preserve">Копродукциони форум When East Мeets West - WEMW се одржава у оквиру Међународног филмског фестивала у Трсту уз помоћ ФВГ аудиовизуелног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проjекте коjи су у развоjу отвара се могућност за међународне копродукциjе. На форуму годишње се окупља око 400 филмских професионалаца из целе Европе. ФЦС jе, као основни партнер и покровитељ главне награде заступљен у свим брошурама и програмима.
</t>
  </si>
  <si>
    <t>2.000 РСД * 2 особе * 1 оброк * 6 дана</t>
  </si>
  <si>
    <t>40.000 РСД.</t>
  </si>
  <si>
    <t>2.000 EUR</t>
  </si>
  <si>
    <t>50.000 RSD.</t>
  </si>
  <si>
    <t>50.000 RSD</t>
  </si>
  <si>
    <t>500.000 РСД.</t>
  </si>
  <si>
    <t>80.000 RSD</t>
  </si>
  <si>
    <t>1175 EUR.</t>
  </si>
  <si>
    <t>3292 EUR.</t>
  </si>
  <si>
    <t>3200 EUR.</t>
  </si>
  <si>
    <t>У Београду, 1.2.2022.</t>
  </si>
  <si>
    <t>SYD FIELD: ТHE SCREENWRITER'S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</si>
</sst>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quot;RSD&quot;_);[Red]\(#,##0\ &quot;RSD&quot;\)"/>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b/>
      <sz val="14"/>
      <name val="Arial Narrow"/>
      <family val="2"/>
    </font>
    <font>
      <sz val="12"/>
      <color rgb="FF9C0006"/>
      <name val="Calibri"/>
      <family val="2"/>
      <scheme val="minor"/>
    </font>
    <font>
      <sz val="12"/>
      <name val="Calibri"/>
      <family val="2"/>
      <scheme val="minor"/>
    </font>
    <font>
      <b/>
      <sz val="12"/>
      <color rgb="FFFF0000"/>
      <name val="Arial Narrow"/>
      <family val="2"/>
    </font>
    <font>
      <sz val="12"/>
      <color rgb="FFFF0000"/>
      <name val="Arial Narrow"/>
      <family val="2"/>
    </font>
    <font>
      <sz val="12"/>
      <color theme="1"/>
      <name val="Arial Narrow"/>
      <family val="2"/>
    </font>
    <font>
      <sz val="14"/>
      <name val="Arial Narrow"/>
      <family val="2"/>
    </font>
    <font>
      <b/>
      <sz val="12"/>
      <color theme="1"/>
      <name val="Calibri"/>
      <family val="2"/>
      <scheme val="minor"/>
    </font>
    <font>
      <sz val="14"/>
      <color rgb="FFFF0000"/>
      <name val="Arial Narrow"/>
      <family val="2"/>
    </font>
    <font>
      <b/>
      <sz val="13"/>
      <name val="Arial Narrow"/>
      <family val="2"/>
    </font>
    <font>
      <sz val="12"/>
      <color indexed="10"/>
      <name val="Arial Narrow"/>
      <family val="2"/>
    </font>
    <font>
      <sz val="12"/>
      <color indexed="8"/>
      <name val="Arial Narrow"/>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rgb="FFBFBFBF"/>
        <bgColor rgb="FF000000"/>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right/>
      <top style="hair">
        <color auto="1"/>
      </top>
      <bottom style="hair">
        <color auto="1"/>
      </bottom>
      <diagonal/>
    </border>
    <border>
      <left style="hair">
        <color auto="1"/>
      </left>
      <right/>
      <top style="hair">
        <color auto="1"/>
      </top>
      <bottom style="hair">
        <color auto="1"/>
      </bottom>
      <diagonal/>
    </border>
  </borders>
  <cellStyleXfs count="95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0" fontId="7" fillId="0" borderId="0"/>
    <xf numFmtId="0" fontId="7" fillId="0" borderId="0"/>
    <xf numFmtId="0" fontId="9"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3">
    <xf numFmtId="0" fontId="0" fillId="0" borderId="0" xfId="0"/>
    <xf numFmtId="0" fontId="4" fillId="0" borderId="0" xfId="0" applyFont="1"/>
    <xf numFmtId="0" fontId="5" fillId="0" borderId="0" xfId="0" applyFont="1"/>
    <xf numFmtId="0" fontId="4" fillId="0" borderId="0" xfId="0" applyFont="1" applyFill="1"/>
    <xf numFmtId="0" fontId="4" fillId="0" borderId="0" xfId="0" applyFont="1"/>
    <xf numFmtId="0" fontId="5" fillId="0" borderId="0" xfId="0" applyFont="1" applyFill="1"/>
    <xf numFmtId="0" fontId="4" fillId="0" borderId="0" xfId="0" applyFont="1"/>
    <xf numFmtId="0" fontId="4" fillId="0" borderId="0" xfId="0" applyFont="1"/>
    <xf numFmtId="0" fontId="4" fillId="7" borderId="0" xfId="0" applyFont="1" applyFill="1"/>
    <xf numFmtId="0" fontId="4" fillId="0" borderId="0" xfId="0" applyFont="1"/>
    <xf numFmtId="0" fontId="4" fillId="3" borderId="0" xfId="0" applyFont="1" applyFill="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5" fillId="0" borderId="1" xfId="0" applyFont="1" applyFill="1" applyBorder="1" applyAlignment="1"/>
    <xf numFmtId="4" fontId="4" fillId="0" borderId="1" xfId="0" applyNumberFormat="1" applyFont="1" applyFill="1" applyBorder="1" applyAlignment="1">
      <alignment horizontal="left"/>
    </xf>
    <xf numFmtId="0" fontId="4" fillId="0" borderId="1" xfId="0" applyFont="1" applyFill="1" applyBorder="1" applyAlignment="1"/>
    <xf numFmtId="4" fontId="5" fillId="0" borderId="1" xfId="0" applyNumberFormat="1" applyFont="1" applyFill="1" applyBorder="1" applyAlignment="1">
      <alignment horizontal="right"/>
    </xf>
    <xf numFmtId="0" fontId="5" fillId="0" borderId="1" xfId="0" applyFont="1" applyFill="1" applyBorder="1" applyAlignment="1">
      <alignment horizontal="left" vertical="center"/>
    </xf>
    <xf numFmtId="4" fontId="5" fillId="0" borderId="1" xfId="0" applyNumberFormat="1" applyFont="1" applyFill="1" applyBorder="1"/>
    <xf numFmtId="0" fontId="5" fillId="3" borderId="1" xfId="0" applyFont="1" applyFill="1" applyBorder="1" applyAlignment="1">
      <alignment horizontal="left" vertical="center"/>
    </xf>
    <xf numFmtId="4" fontId="5" fillId="3" borderId="1" xfId="0" applyNumberFormat="1" applyFont="1" applyFill="1" applyBorder="1"/>
    <xf numFmtId="0" fontId="8" fillId="0" borderId="1" xfId="0" applyFont="1" applyFill="1" applyBorder="1" applyAlignment="1">
      <alignment horizontal="right" vertical="center"/>
    </xf>
    <xf numFmtId="4" fontId="8" fillId="0" borderId="1" xfId="0" applyNumberFormat="1" applyFont="1" applyFill="1" applyBorder="1"/>
    <xf numFmtId="0" fontId="5" fillId="0" borderId="1" xfId="0" applyFont="1" applyBorder="1"/>
    <xf numFmtId="0" fontId="4" fillId="0" borderId="1" xfId="0" applyFont="1" applyBorder="1" applyAlignment="1">
      <alignment wrapText="1"/>
    </xf>
    <xf numFmtId="0" fontId="4" fillId="0" borderId="1" xfId="0" applyFont="1" applyFill="1" applyBorder="1" applyAlignment="1">
      <alignment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wrapText="1"/>
    </xf>
    <xf numFmtId="0" fontId="4" fillId="0" borderId="1" xfId="0" applyFont="1" applyBorder="1" applyAlignment="1">
      <alignment vertical="center" wrapText="1"/>
    </xf>
    <xf numFmtId="0" fontId="4" fillId="0" borderId="1" xfId="0" applyFont="1" applyFill="1" applyBorder="1"/>
    <xf numFmtId="0" fontId="5" fillId="0" borderId="1" xfId="0" applyFont="1" applyBorder="1" applyAlignment="1">
      <alignment horizontal="right" vertical="center"/>
    </xf>
    <xf numFmtId="4" fontId="5" fillId="0" borderId="1" xfId="0" applyNumberFormat="1" applyFont="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vertical="center"/>
    </xf>
    <xf numFmtId="4" fontId="5" fillId="2" borderId="1" xfId="0" applyNumberFormat="1" applyFont="1" applyFill="1" applyBorder="1" applyAlignment="1">
      <alignment vertical="center" wrapText="1"/>
    </xf>
    <xf numFmtId="0" fontId="5" fillId="4" borderId="1" xfId="0" applyFont="1" applyFill="1" applyBorder="1" applyAlignment="1">
      <alignment horizontal="right" wrapText="1"/>
    </xf>
    <xf numFmtId="0" fontId="5" fillId="0" borderId="1" xfId="0" applyFont="1" applyBorder="1" applyAlignment="1">
      <alignment wrapText="1"/>
    </xf>
    <xf numFmtId="0" fontId="5" fillId="0" borderId="1" xfId="0" applyFont="1" applyBorder="1" applyAlignment="1">
      <alignment horizontal="right" vertical="center" wrapText="1"/>
    </xf>
    <xf numFmtId="4" fontId="4" fillId="2" borderId="1" xfId="0" applyNumberFormat="1" applyFont="1" applyFill="1" applyBorder="1" applyAlignment="1">
      <alignmen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3" fontId="5" fillId="0" borderId="1" xfId="0" applyNumberFormat="1" applyFont="1" applyBorder="1" applyAlignment="1">
      <alignment horizontal="right" vertical="center" wrapText="1"/>
    </xf>
    <xf numFmtId="0" fontId="4" fillId="7" borderId="1" xfId="0" applyFont="1" applyFill="1" applyBorder="1" applyAlignment="1">
      <alignment vertical="center" wrapText="1"/>
    </xf>
    <xf numFmtId="4" fontId="4"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Border="1" applyAlignment="1">
      <alignment horizontal="right" vertical="top" wrapText="1"/>
    </xf>
    <xf numFmtId="0" fontId="5" fillId="0" borderId="1" xfId="0" applyFont="1" applyFill="1" applyBorder="1" applyAlignment="1">
      <alignment horizontal="right" vertical="top" wrapText="1"/>
    </xf>
    <xf numFmtId="4" fontId="4" fillId="3" borderId="1" xfId="0" applyNumberFormat="1" applyFont="1" applyFill="1" applyBorder="1" applyAlignment="1">
      <alignment vertical="center" wrapText="1"/>
    </xf>
    <xf numFmtId="0" fontId="5" fillId="0" borderId="1" xfId="0" applyFont="1" applyBorder="1" applyAlignment="1">
      <alignment horizontal="left" vertical="top" wrapText="1"/>
    </xf>
    <xf numFmtId="3" fontId="4" fillId="0" borderId="1" xfId="0" applyNumberFormat="1" applyFont="1" applyBorder="1" applyAlignment="1">
      <alignment horizontal="right" vertical="center" wrapText="1"/>
    </xf>
    <xf numFmtId="0" fontId="5" fillId="0" borderId="1" xfId="0" applyFont="1" applyFill="1" applyBorder="1" applyAlignment="1">
      <alignment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top" wrapText="1"/>
    </xf>
    <xf numFmtId="0" fontId="4" fillId="7" borderId="1" xfId="0" applyFont="1" applyFill="1" applyBorder="1"/>
    <xf numFmtId="3" fontId="5" fillId="0" borderId="1" xfId="0" applyNumberFormat="1"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0" fontId="5" fillId="7" borderId="1" xfId="0" applyFont="1" applyFill="1" applyBorder="1"/>
    <xf numFmtId="0" fontId="4" fillId="0" borderId="1" xfId="0" applyFont="1" applyBorder="1" applyAlignment="1">
      <alignment horizontal="center" wrapText="1"/>
    </xf>
    <xf numFmtId="0" fontId="5" fillId="3" borderId="1" xfId="0" applyFont="1" applyFill="1" applyBorder="1"/>
    <xf numFmtId="0" fontId="5" fillId="0" borderId="1" xfId="0" applyFont="1" applyFill="1" applyBorder="1" applyAlignment="1">
      <alignment vertical="center" wrapText="1"/>
    </xf>
    <xf numFmtId="0" fontId="5" fillId="7" borderId="0" xfId="0" applyFont="1" applyFill="1"/>
    <xf numFmtId="3" fontId="4" fillId="7" borderId="1" xfId="0" applyNumberFormat="1" applyFont="1" applyFill="1" applyBorder="1" applyAlignment="1">
      <alignment wrapText="1"/>
    </xf>
    <xf numFmtId="4" fontId="4" fillId="7" borderId="1" xfId="0" applyNumberFormat="1" applyFont="1" applyFill="1" applyBorder="1" applyAlignment="1">
      <alignment horizontal="right" vertical="center" wrapText="1"/>
    </xf>
    <xf numFmtId="4" fontId="4" fillId="7" borderId="1" xfId="0" applyNumberFormat="1" applyFont="1" applyFill="1" applyBorder="1" applyAlignment="1">
      <alignment vertical="center" wrapText="1"/>
    </xf>
    <xf numFmtId="0" fontId="4" fillId="7" borderId="1" xfId="0" applyFont="1" applyFill="1" applyBorder="1" applyAlignment="1">
      <alignment wrapText="1"/>
    </xf>
    <xf numFmtId="0" fontId="4" fillId="7" borderId="1" xfId="0" applyFont="1" applyFill="1" applyBorder="1" applyAlignment="1">
      <alignment vertical="center"/>
    </xf>
    <xf numFmtId="4" fontId="4" fillId="7" borderId="1" xfId="460" applyNumberFormat="1" applyFont="1" applyFill="1" applyBorder="1" applyAlignment="1">
      <alignment horizontal="right" vertical="center" wrapText="1"/>
    </xf>
    <xf numFmtId="0" fontId="4" fillId="7" borderId="1" xfId="460" applyFont="1" applyFill="1" applyBorder="1" applyAlignment="1">
      <alignment vertical="center"/>
    </xf>
    <xf numFmtId="0" fontId="4" fillId="7" borderId="1" xfId="460" applyFont="1" applyFill="1" applyBorder="1" applyAlignment="1">
      <alignment vertical="center" wrapText="1"/>
    </xf>
    <xf numFmtId="0" fontId="5" fillId="7" borderId="1" xfId="0" applyFont="1" applyFill="1" applyBorder="1" applyAlignment="1">
      <alignment horizontal="right" vertical="center" wrapText="1"/>
    </xf>
    <xf numFmtId="4" fontId="5" fillId="7" borderId="1" xfId="0" applyNumberFormat="1" applyFont="1" applyFill="1" applyBorder="1" applyAlignment="1">
      <alignment vertical="center" wrapText="1"/>
    </xf>
    <xf numFmtId="0" fontId="5" fillId="7" borderId="1" xfId="0" applyFont="1" applyFill="1" applyBorder="1" applyAlignment="1">
      <alignment horizontal="left" vertical="center" wrapText="1"/>
    </xf>
    <xf numFmtId="4" fontId="5" fillId="7" borderId="1" xfId="0" applyNumberFormat="1" applyFont="1" applyFill="1" applyBorder="1" applyAlignment="1">
      <alignment horizontal="right" vertical="center" wrapText="1"/>
    </xf>
    <xf numFmtId="3" fontId="4" fillId="7" borderId="1" xfId="0" applyNumberFormat="1" applyFont="1" applyFill="1" applyBorder="1" applyAlignment="1">
      <alignment horizontal="left" wrapText="1"/>
    </xf>
    <xf numFmtId="0" fontId="14" fillId="7" borderId="0" xfId="0" applyFont="1" applyFill="1"/>
    <xf numFmtId="0" fontId="14" fillId="0" borderId="0" xfId="0" applyFont="1" applyFill="1"/>
    <xf numFmtId="1" fontId="4" fillId="7" borderId="1" xfId="0" applyNumberFormat="1" applyFont="1" applyFill="1" applyBorder="1" applyAlignment="1">
      <alignment vertical="center" wrapText="1"/>
    </xf>
    <xf numFmtId="4" fontId="0" fillId="0" borderId="0" xfId="0" applyNumberFormat="1"/>
    <xf numFmtId="0" fontId="15" fillId="0" borderId="0" xfId="0" applyFont="1"/>
    <xf numFmtId="4" fontId="15" fillId="0" borderId="0" xfId="0" applyNumberFormat="1" applyFont="1"/>
    <xf numFmtId="0" fontId="4" fillId="2" borderId="1" xfId="0" applyFont="1" applyFill="1" applyBorder="1" applyAlignment="1">
      <alignment horizontal="right" vertical="center" wrapText="1"/>
    </xf>
    <xf numFmtId="0" fontId="4" fillId="0" borderId="1" xfId="0" applyFont="1" applyBorder="1"/>
    <xf numFmtId="0" fontId="13" fillId="0" borderId="0" xfId="0" applyFont="1" applyFill="1"/>
    <xf numFmtId="0" fontId="13" fillId="0" borderId="0" xfId="0" applyFont="1"/>
    <xf numFmtId="0" fontId="5" fillId="0" borderId="1" xfId="0" applyFont="1" applyFill="1" applyBorder="1"/>
    <xf numFmtId="4" fontId="4" fillId="7" borderId="1" xfId="0" applyNumberFormat="1" applyFont="1" applyFill="1" applyBorder="1" applyAlignment="1">
      <alignment vertical="center"/>
    </xf>
    <xf numFmtId="0" fontId="5" fillId="7" borderId="1" xfId="0" applyFont="1" applyFill="1" applyBorder="1" applyAlignment="1">
      <alignment horizontal="right"/>
    </xf>
    <xf numFmtId="0" fontId="5" fillId="3" borderId="1" xfId="0" applyFont="1" applyFill="1" applyBorder="1" applyAlignment="1">
      <alignment horizontal="center" vertical="top" wrapText="1"/>
    </xf>
    <xf numFmtId="0" fontId="5" fillId="0" borderId="1" xfId="0" applyFont="1" applyBorder="1" applyAlignment="1">
      <alignment vertical="center" wrapText="1"/>
    </xf>
    <xf numFmtId="0" fontId="5" fillId="7" borderId="1" xfId="0" applyFont="1" applyFill="1" applyBorder="1" applyAlignment="1">
      <alignment vertical="center" wrapText="1"/>
    </xf>
    <xf numFmtId="0" fontId="4" fillId="3" borderId="1" xfId="0" applyFont="1" applyFill="1" applyBorder="1" applyAlignment="1">
      <alignment wrapText="1"/>
    </xf>
    <xf numFmtId="0" fontId="16" fillId="7" borderId="0" xfId="0" applyFont="1" applyFill="1"/>
    <xf numFmtId="0" fontId="12" fillId="7" borderId="0" xfId="0" applyFont="1" applyFill="1"/>
    <xf numFmtId="1" fontId="5" fillId="7" borderId="1" xfId="0" applyNumberFormat="1" applyFont="1" applyFill="1" applyBorder="1" applyAlignment="1">
      <alignment vertical="center" wrapText="1"/>
    </xf>
    <xf numFmtId="164" fontId="4" fillId="7" borderId="1" xfId="0" applyNumberFormat="1" applyFont="1" applyFill="1" applyBorder="1" applyAlignment="1">
      <alignment horizontal="left" wrapText="1"/>
    </xf>
    <xf numFmtId="164" fontId="4" fillId="7" borderId="1" xfId="0" applyNumberFormat="1" applyFont="1" applyFill="1" applyBorder="1" applyAlignment="1">
      <alignment horizontal="left" vertical="center" wrapText="1"/>
    </xf>
    <xf numFmtId="3" fontId="5" fillId="7" borderId="1" xfId="0" applyNumberFormat="1" applyFont="1" applyFill="1" applyBorder="1" applyAlignment="1">
      <alignment horizontal="right" vertical="center" wrapText="1"/>
    </xf>
    <xf numFmtId="3" fontId="4" fillId="7" borderId="1" xfId="0" applyNumberFormat="1" applyFont="1" applyFill="1" applyBorder="1" applyAlignment="1">
      <alignment vertical="center" wrapText="1"/>
    </xf>
    <xf numFmtId="0" fontId="4" fillId="7" borderId="1" xfId="0" applyFont="1" applyFill="1" applyBorder="1" applyAlignment="1">
      <alignment horizontal="left" vertical="center" wrapText="1"/>
    </xf>
    <xf numFmtId="3" fontId="4" fillId="7" borderId="1" xfId="0" applyNumberFormat="1" applyFont="1" applyFill="1" applyBorder="1" applyAlignment="1">
      <alignment horizontal="left" vertical="top" wrapText="1"/>
    </xf>
    <xf numFmtId="0" fontId="4" fillId="7" borderId="1" xfId="0" applyFont="1" applyFill="1" applyBorder="1" applyAlignment="1">
      <alignment horizontal="left" wrapText="1"/>
    </xf>
    <xf numFmtId="0" fontId="5" fillId="7" borderId="1" xfId="0" applyFont="1" applyFill="1" applyBorder="1" applyAlignment="1">
      <alignment wrapText="1"/>
    </xf>
    <xf numFmtId="43" fontId="4" fillId="7" borderId="1" xfId="457" applyFont="1" applyFill="1" applyBorder="1"/>
    <xf numFmtId="43" fontId="4" fillId="7" borderId="0" xfId="457" applyFont="1" applyFill="1"/>
    <xf numFmtId="3" fontId="5" fillId="7" borderId="1" xfId="0" applyNumberFormat="1" applyFont="1" applyFill="1" applyBorder="1" applyAlignment="1">
      <alignment horizontal="left" vertical="center" wrapText="1"/>
    </xf>
    <xf numFmtId="3" fontId="4" fillId="7"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43" fontId="5" fillId="7" borderId="1" xfId="457" applyFont="1" applyFill="1" applyBorder="1"/>
    <xf numFmtId="43" fontId="4" fillId="7" borderId="1" xfId="457" applyFont="1" applyFill="1" applyBorder="1" applyAlignment="1">
      <alignment wrapText="1"/>
    </xf>
    <xf numFmtId="43" fontId="4" fillId="7" borderId="1" xfId="457" applyFont="1" applyFill="1" applyBorder="1" applyAlignment="1">
      <alignment horizontal="right" vertical="center" wrapText="1"/>
    </xf>
    <xf numFmtId="0" fontId="17" fillId="0" borderId="1" xfId="0" applyFont="1" applyFill="1" applyBorder="1" applyAlignment="1">
      <alignment wrapText="1"/>
    </xf>
    <xf numFmtId="3" fontId="5" fillId="3" borderId="1" xfId="458" applyNumberFormat="1" applyFont="1" applyFill="1" applyBorder="1" applyAlignment="1">
      <alignment horizontal="left" vertical="center"/>
    </xf>
    <xf numFmtId="49" fontId="5" fillId="3" borderId="1" xfId="458" applyNumberFormat="1" applyFont="1" applyFill="1" applyBorder="1" applyAlignment="1">
      <alignment horizontal="center" vertical="center" wrapText="1"/>
    </xf>
    <xf numFmtId="3" fontId="5" fillId="0" borderId="1" xfId="458" applyNumberFormat="1" applyFont="1" applyFill="1" applyBorder="1" applyAlignment="1">
      <alignment horizontal="center" vertical="center"/>
    </xf>
    <xf numFmtId="3" fontId="5" fillId="0" borderId="1" xfId="458" applyNumberFormat="1" applyFont="1" applyFill="1" applyBorder="1" applyAlignment="1">
      <alignment horizontal="center" vertical="center" wrapText="1"/>
    </xf>
    <xf numFmtId="3" fontId="5" fillId="0" borderId="1" xfId="458" applyNumberFormat="1" applyFont="1" applyFill="1" applyBorder="1" applyAlignment="1">
      <alignment vertical="center" wrapText="1"/>
    </xf>
    <xf numFmtId="3" fontId="5" fillId="0" borderId="1" xfId="459" applyNumberFormat="1" applyFont="1" applyFill="1" applyBorder="1" applyAlignment="1">
      <alignment vertical="center"/>
    </xf>
    <xf numFmtId="0" fontId="4" fillId="0" borderId="1" xfId="458" applyFont="1" applyFill="1" applyBorder="1" applyAlignment="1">
      <alignment horizontal="left" vertical="center" wrapText="1"/>
    </xf>
    <xf numFmtId="4" fontId="4" fillId="0" borderId="1" xfId="459" applyNumberFormat="1" applyFont="1" applyFill="1" applyBorder="1" applyAlignment="1" applyProtection="1">
      <alignment vertical="center"/>
      <protection locked="0"/>
    </xf>
    <xf numFmtId="4" fontId="5" fillId="0" borderId="1" xfId="459" applyNumberFormat="1" applyFont="1" applyFill="1" applyBorder="1" applyAlignment="1">
      <alignment vertical="center"/>
    </xf>
    <xf numFmtId="0" fontId="4" fillId="0" borderId="1" xfId="458" applyFont="1" applyFill="1" applyBorder="1" applyAlignment="1">
      <alignment vertical="center" wrapText="1"/>
    </xf>
    <xf numFmtId="0" fontId="5" fillId="0" borderId="1" xfId="458" applyFont="1" applyFill="1" applyBorder="1" applyAlignment="1">
      <alignment vertical="center"/>
    </xf>
    <xf numFmtId="0" fontId="4" fillId="0" borderId="1" xfId="458" applyFont="1" applyFill="1" applyBorder="1" applyAlignment="1">
      <alignment vertical="center"/>
    </xf>
    <xf numFmtId="0" fontId="5" fillId="7" borderId="2" xfId="458" applyFont="1" applyFill="1" applyBorder="1" applyAlignment="1">
      <alignment vertical="center" wrapText="1"/>
    </xf>
    <xf numFmtId="4" fontId="5" fillId="0" borderId="1" xfId="459" applyNumberFormat="1" applyFont="1" applyFill="1" applyBorder="1" applyAlignment="1" applyProtection="1">
      <alignment vertical="center"/>
    </xf>
    <xf numFmtId="4" fontId="4" fillId="0" borderId="1" xfId="459" applyNumberFormat="1" applyFont="1" applyFill="1" applyBorder="1" applyAlignment="1" applyProtection="1">
      <alignment vertical="center"/>
    </xf>
    <xf numFmtId="0" fontId="5" fillId="0" borderId="1" xfId="458" applyFont="1" applyFill="1" applyBorder="1" applyAlignment="1">
      <alignment vertical="center" wrapText="1"/>
    </xf>
    <xf numFmtId="0" fontId="4" fillId="3" borderId="1" xfId="458" applyFont="1" applyFill="1" applyBorder="1" applyAlignment="1">
      <alignment vertical="center" wrapText="1"/>
    </xf>
    <xf numFmtId="4" fontId="4" fillId="3" borderId="1" xfId="459" applyNumberFormat="1" applyFont="1" applyFill="1" applyBorder="1" applyAlignment="1" applyProtection="1">
      <alignment vertical="center"/>
      <protection locked="0"/>
    </xf>
    <xf numFmtId="0" fontId="17" fillId="0" borderId="1" xfId="0" applyFont="1" applyFill="1" applyBorder="1" applyAlignment="1">
      <alignment horizontal="right" vertical="center"/>
    </xf>
    <xf numFmtId="4" fontId="17" fillId="0" borderId="1" xfId="458" applyNumberFormat="1" applyFont="1" applyFill="1" applyBorder="1" applyAlignment="1">
      <alignment vertical="center"/>
    </xf>
    <xf numFmtId="4" fontId="4" fillId="7" borderId="1" xfId="459" applyNumberFormat="1" applyFont="1" applyFill="1" applyBorder="1" applyAlignment="1" applyProtection="1">
      <alignment vertical="center"/>
      <protection locked="0"/>
    </xf>
    <xf numFmtId="0" fontId="4" fillId="0" borderId="0" xfId="0" applyFont="1" applyBorder="1"/>
    <xf numFmtId="0" fontId="5" fillId="0" borderId="0" xfId="0" applyFont="1" applyBorder="1"/>
    <xf numFmtId="0" fontId="4" fillId="0" borderId="0" xfId="0" applyFont="1" applyBorder="1" applyAlignment="1">
      <alignment wrapText="1"/>
    </xf>
    <xf numFmtId="0" fontId="5" fillId="8" borderId="0" xfId="0" applyFont="1" applyFill="1" applyBorder="1"/>
    <xf numFmtId="0" fontId="4" fillId="0" borderId="1" xfId="0" applyFont="1" applyBorder="1" applyAlignment="1">
      <alignment vertical="center"/>
    </xf>
    <xf numFmtId="0" fontId="5" fillId="3" borderId="1" xfId="0" applyFont="1" applyFill="1" applyBorder="1" applyAlignment="1">
      <alignment horizontal="center" vertical="center" wrapText="1"/>
    </xf>
    <xf numFmtId="4" fontId="4" fillId="0" borderId="1" xfId="0" applyNumberFormat="1" applyFont="1" applyBorder="1" applyAlignment="1">
      <alignment vertical="center"/>
    </xf>
    <xf numFmtId="4" fontId="4" fillId="0" borderId="1" xfId="0" applyNumberFormat="1" applyFont="1" applyFill="1" applyBorder="1" applyAlignment="1">
      <alignment vertical="center"/>
    </xf>
    <xf numFmtId="4" fontId="5" fillId="0" borderId="1" xfId="0" applyNumberFormat="1" applyFont="1" applyBorder="1" applyAlignment="1">
      <alignment horizontal="right" vertical="center"/>
    </xf>
    <xf numFmtId="10" fontId="4" fillId="0" borderId="1" xfId="0" applyNumberFormat="1" applyFont="1" applyFill="1" applyBorder="1" applyAlignment="1">
      <alignment vertical="center"/>
    </xf>
    <xf numFmtId="4" fontId="4" fillId="3" borderId="1" xfId="0" applyNumberFormat="1" applyFont="1" applyFill="1" applyBorder="1" applyAlignment="1">
      <alignment vertical="center"/>
    </xf>
    <xf numFmtId="10" fontId="5" fillId="0" borderId="1" xfId="0" applyNumberFormat="1" applyFont="1" applyFill="1" applyBorder="1" applyAlignment="1">
      <alignment vertical="center"/>
    </xf>
    <xf numFmtId="4" fontId="5" fillId="0" borderId="1" xfId="457" applyNumberFormat="1" applyFont="1" applyBorder="1" applyAlignment="1">
      <alignment vertical="center"/>
    </xf>
    <xf numFmtId="4" fontId="4" fillId="4" borderId="1" xfId="0" applyNumberFormat="1" applyFont="1" applyFill="1" applyBorder="1" applyAlignment="1">
      <alignment vertical="center"/>
    </xf>
    <xf numFmtId="4" fontId="5" fillId="4" borderId="1" xfId="0" applyNumberFormat="1" applyFont="1" applyFill="1" applyBorder="1" applyAlignment="1">
      <alignment vertical="center" wrapText="1"/>
    </xf>
    <xf numFmtId="4" fontId="4" fillId="0" borderId="1" xfId="0" applyNumberFormat="1" applyFont="1" applyBorder="1" applyAlignment="1">
      <alignment vertical="center" wrapText="1"/>
    </xf>
    <xf numFmtId="4" fontId="5" fillId="7" borderId="1" xfId="0" applyNumberFormat="1" applyFont="1" applyFill="1" applyBorder="1" applyAlignment="1">
      <alignment vertical="center"/>
    </xf>
    <xf numFmtId="4" fontId="5" fillId="3" borderId="1" xfId="0" applyNumberFormat="1" applyFont="1" applyFill="1" applyBorder="1" applyAlignment="1">
      <alignment vertical="center" wrapText="1"/>
    </xf>
    <xf numFmtId="4" fontId="5" fillId="0" borderId="1" xfId="0" applyNumberFormat="1" applyFont="1" applyBorder="1" applyAlignment="1">
      <alignment vertical="center" wrapText="1"/>
    </xf>
    <xf numFmtId="4" fontId="4" fillId="4" borderId="1" xfId="0" applyNumberFormat="1" applyFont="1" applyFill="1" applyBorder="1" applyAlignment="1">
      <alignment vertical="center" wrapText="1"/>
    </xf>
    <xf numFmtId="4" fontId="5" fillId="0" borderId="1" xfId="0" applyNumberFormat="1" applyFont="1" applyFill="1" applyBorder="1" applyAlignment="1">
      <alignment vertical="center"/>
    </xf>
    <xf numFmtId="0" fontId="5" fillId="0" borderId="1" xfId="0" applyFont="1" applyFill="1" applyBorder="1" applyAlignment="1">
      <alignment horizontal="center" vertical="center" wrapText="1"/>
    </xf>
    <xf numFmtId="1" fontId="5" fillId="7" borderId="1" xfId="0" applyNumberFormat="1" applyFont="1" applyFill="1" applyBorder="1" applyAlignment="1">
      <alignment vertical="center"/>
    </xf>
    <xf numFmtId="0" fontId="5" fillId="7" borderId="1" xfId="0" applyFont="1" applyFill="1" applyBorder="1" applyAlignment="1">
      <alignment horizontal="center" vertical="center" wrapText="1"/>
    </xf>
    <xf numFmtId="0" fontId="4" fillId="0" borderId="1" xfId="0" applyFont="1" applyFill="1" applyBorder="1" applyAlignment="1">
      <alignment vertical="center" wrapText="1"/>
    </xf>
    <xf numFmtId="43" fontId="4" fillId="7" borderId="1" xfId="457" applyFont="1" applyFill="1" applyBorder="1" applyAlignment="1">
      <alignment vertical="center"/>
    </xf>
    <xf numFmtId="4" fontId="8" fillId="0" borderId="1" xfId="0" applyNumberFormat="1" applyFont="1" applyFill="1" applyBorder="1" applyAlignment="1">
      <alignment vertical="center"/>
    </xf>
    <xf numFmtId="0" fontId="4" fillId="3" borderId="1" xfId="0" applyFont="1" applyFill="1" applyBorder="1" applyAlignment="1">
      <alignment vertical="center"/>
    </xf>
    <xf numFmtId="4" fontId="5" fillId="0" borderId="1" xfId="0" applyNumberFormat="1" applyFont="1" applyBorder="1" applyAlignment="1">
      <alignment vertical="center"/>
    </xf>
    <xf numFmtId="4" fontId="4" fillId="0" borderId="0" xfId="0" applyNumberFormat="1" applyFont="1" applyBorder="1" applyAlignment="1">
      <alignment vertical="center"/>
    </xf>
    <xf numFmtId="4" fontId="11" fillId="7" borderId="0" xfId="0" applyNumberFormat="1" applyFont="1" applyFill="1" applyAlignment="1">
      <alignment vertical="center"/>
    </xf>
    <xf numFmtId="4" fontId="4" fillId="8" borderId="0" xfId="0" applyNumberFormat="1" applyFont="1" applyFill="1" applyBorder="1" applyAlignment="1">
      <alignment vertical="center"/>
    </xf>
    <xf numFmtId="4" fontId="4" fillId="7" borderId="1" xfId="0" applyNumberFormat="1" applyFont="1" applyFill="1" applyBorder="1" applyAlignment="1">
      <alignment horizontal="left" vertical="center" wrapText="1"/>
    </xf>
    <xf numFmtId="4" fontId="4" fillId="7" borderId="1" xfId="0" applyNumberFormat="1" applyFont="1" applyFill="1" applyBorder="1" applyAlignment="1">
      <alignment horizontal="center" vertical="center" wrapText="1"/>
    </xf>
    <xf numFmtId="4" fontId="4" fillId="7" borderId="1" xfId="457" applyNumberFormat="1" applyFont="1" applyFill="1" applyBorder="1" applyAlignment="1">
      <alignment vertical="center"/>
    </xf>
    <xf numFmtId="0" fontId="5" fillId="7" borderId="1" xfId="0" applyFont="1" applyFill="1" applyBorder="1" applyAlignment="1">
      <alignment vertical="center" wrapText="1"/>
    </xf>
    <xf numFmtId="0" fontId="5" fillId="0" borderId="1" xfId="0" applyFont="1" applyBorder="1" applyAlignment="1">
      <alignment vertical="center" wrapText="1"/>
    </xf>
    <xf numFmtId="0" fontId="4" fillId="7" borderId="1" xfId="0" applyFont="1" applyFill="1" applyBorder="1" applyAlignment="1">
      <alignment horizontal="left" vertical="top" wrapText="1"/>
    </xf>
    <xf numFmtId="0" fontId="5" fillId="7" borderId="1" xfId="0" applyFont="1" applyFill="1" applyBorder="1" applyAlignment="1">
      <alignment vertical="center" wrapText="1"/>
    </xf>
    <xf numFmtId="0" fontId="4" fillId="3" borderId="1" xfId="0" applyFont="1" applyFill="1" applyBorder="1" applyAlignment="1">
      <alignment wrapText="1"/>
    </xf>
    <xf numFmtId="4" fontId="18" fillId="0" borderId="0" xfId="0" applyNumberFormat="1" applyFont="1" applyAlignment="1">
      <alignment wrapText="1"/>
    </xf>
    <xf numFmtId="4" fontId="18" fillId="0" borderId="0" xfId="0" applyNumberFormat="1" applyFont="1"/>
    <xf numFmtId="0" fontId="5" fillId="0" borderId="0" xfId="0" applyFont="1" applyAlignment="1">
      <alignment vertical="center"/>
    </xf>
    <xf numFmtId="0" fontId="11" fillId="0" borderId="0" xfId="0" applyFont="1" applyFill="1"/>
    <xf numFmtId="0" fontId="11" fillId="7" borderId="0" xfId="0" applyFont="1" applyFill="1"/>
    <xf numFmtId="4" fontId="4" fillId="7" borderId="0" xfId="0" applyNumberFormat="1" applyFont="1" applyFill="1"/>
    <xf numFmtId="4" fontId="14" fillId="7" borderId="0" xfId="0" applyNumberFormat="1" applyFont="1" applyFill="1"/>
    <xf numFmtId="0" fontId="5" fillId="7" borderId="1" xfId="0" applyFont="1" applyFill="1" applyBorder="1" applyAlignment="1">
      <alignment vertical="center" wrapText="1"/>
    </xf>
    <xf numFmtId="0" fontId="5" fillId="3" borderId="1" xfId="0" applyFont="1" applyFill="1" applyBorder="1" applyAlignment="1">
      <alignment horizontal="center" vertical="top" wrapText="1"/>
    </xf>
    <xf numFmtId="0" fontId="4" fillId="3" borderId="1" xfId="0" applyFont="1" applyFill="1" applyBorder="1" applyAlignment="1">
      <alignment wrapText="1"/>
    </xf>
    <xf numFmtId="4" fontId="5" fillId="7" borderId="1" xfId="0" applyNumberFormat="1" applyFont="1" applyFill="1" applyBorder="1" applyAlignment="1">
      <alignment horizontal="right" vertical="top" wrapText="1"/>
    </xf>
    <xf numFmtId="0" fontId="5" fillId="7" borderId="1" xfId="0" applyFont="1" applyFill="1" applyBorder="1" applyAlignment="1">
      <alignment vertical="center" wrapText="1"/>
    </xf>
    <xf numFmtId="0" fontId="4" fillId="7" borderId="1" xfId="0" applyFont="1" applyFill="1" applyBorder="1" applyAlignment="1">
      <alignment vertical="center" wrapText="1"/>
    </xf>
    <xf numFmtId="4" fontId="4" fillId="0" borderId="0" xfId="0" applyNumberFormat="1" applyFont="1" applyFill="1"/>
    <xf numFmtId="3" fontId="4" fillId="0" borderId="0" xfId="0" applyNumberFormat="1" applyFont="1" applyFill="1"/>
    <xf numFmtId="0" fontId="4" fillId="3" borderId="1" xfId="0" applyFont="1" applyFill="1" applyBorder="1" applyAlignment="1">
      <alignment horizontal="center"/>
    </xf>
    <xf numFmtId="3" fontId="5" fillId="3"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wrapText="1"/>
    </xf>
    <xf numFmtId="0" fontId="5" fillId="7" borderId="1" xfId="0" applyFont="1" applyFill="1" applyBorder="1" applyAlignment="1">
      <alignment vertical="center"/>
    </xf>
    <xf numFmtId="0" fontId="4" fillId="2" borderId="1" xfId="0" applyFont="1" applyFill="1" applyBorder="1" applyAlignment="1">
      <alignment horizontal="left" vertical="center" wrapText="1"/>
    </xf>
    <xf numFmtId="0" fontId="10" fillId="0" borderId="1" xfId="0" applyFont="1" applyBorder="1" applyAlignment="1">
      <alignment horizontal="left" vertical="center"/>
    </xf>
    <xf numFmtId="0" fontId="4" fillId="3" borderId="1" xfId="0" applyFont="1" applyFill="1" applyBorder="1" applyAlignment="1">
      <alignment horizontal="left" vertical="top"/>
    </xf>
    <xf numFmtId="0" fontId="13"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5" fillId="3" borderId="1" xfId="0" applyFont="1" applyFill="1" applyBorder="1" applyAlignment="1">
      <alignment vertical="center"/>
    </xf>
    <xf numFmtId="0" fontId="4" fillId="6" borderId="1" xfId="0" applyFont="1" applyFill="1" applyBorder="1" applyAlignment="1">
      <alignment horizontal="left" vertical="top" wrapText="1"/>
    </xf>
    <xf numFmtId="0" fontId="5" fillId="0" borderId="1" xfId="0" applyFont="1" applyBorder="1" applyAlignment="1">
      <alignment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5" fillId="3"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xf>
    <xf numFmtId="0" fontId="8" fillId="8" borderId="0" xfId="0" applyFont="1" applyFill="1" applyBorder="1" applyAlignment="1">
      <alignment horizontal="center"/>
    </xf>
    <xf numFmtId="0" fontId="8" fillId="0" borderId="1" xfId="0" applyFont="1" applyBorder="1" applyAlignment="1">
      <alignment horizontal="center"/>
    </xf>
    <xf numFmtId="0" fontId="4" fillId="0" borderId="1" xfId="0" applyFont="1" applyBorder="1" applyAlignment="1">
      <alignment vertical="center"/>
    </xf>
    <xf numFmtId="0" fontId="5" fillId="7" borderId="1" xfId="0" applyFont="1" applyFill="1" applyBorder="1" applyAlignment="1">
      <alignment vertical="center" wrapText="1"/>
    </xf>
    <xf numFmtId="0" fontId="4" fillId="7" borderId="1" xfId="460" applyFont="1" applyFill="1" applyBorder="1" applyAlignment="1">
      <alignment vertical="center" wrapText="1"/>
    </xf>
    <xf numFmtId="0" fontId="0" fillId="0" borderId="1" xfId="0" applyBorder="1" applyAlignment="1">
      <alignment wrapText="1"/>
    </xf>
    <xf numFmtId="0" fontId="4" fillId="7"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pplyProtection="1">
      <alignment vertical="top" wrapText="1"/>
      <protection locked="0"/>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4" fillId="3" borderId="1" xfId="0" applyFont="1" applyFill="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vertical="center"/>
    </xf>
    <xf numFmtId="0" fontId="10" fillId="0" borderId="1" xfId="0" applyFont="1" applyBorder="1" applyAlignment="1">
      <alignment horizontal="left" vertical="top" wrapText="1"/>
    </xf>
    <xf numFmtId="0" fontId="4" fillId="3" borderId="1" xfId="0" applyFont="1" applyFill="1" applyBorder="1" applyAlignment="1">
      <alignment horizontal="center" wrapText="1"/>
    </xf>
    <xf numFmtId="0" fontId="19" fillId="2" borderId="0" xfId="0" applyFont="1" applyFill="1" applyAlignment="1">
      <alignment vertical="top" wrapText="1"/>
    </xf>
    <xf numFmtId="0" fontId="13" fillId="0" borderId="0" xfId="0" applyFont="1" applyAlignment="1">
      <alignment vertical="top"/>
    </xf>
  </cellXfs>
  <cellStyles count="950">
    <cellStyle name="Bad" xfId="460" builtinId="27"/>
    <cellStyle name="Comma" xfId="45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Normal" xfId="0" builtinId="0"/>
    <cellStyle name="Normal_1" xfId="459" xr:uid="{00000000-0005-0000-0000-0000B4030000}"/>
    <cellStyle name="Normal_UNOS08ust" xfId="458" xr:uid="{00000000-0005-0000-0000-0000B5030000}"/>
  </cellStyles>
  <dxfs count="0"/>
  <tableStyles count="0" defaultTableStyle="TableStyleMedium9" defaultPivotStyle="PivotStyleMedium4"/>
  <colors>
    <mruColors>
      <color rgb="FF00FF00"/>
      <color rgb="FFFFFF99"/>
      <color rgb="FFFF00FF"/>
      <color rgb="FFFF33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515"/>
  <sheetViews>
    <sheetView tabSelected="1" view="pageLayout" zoomScaleNormal="100" zoomScaleSheetLayoutView="150" workbookViewId="0">
      <selection activeCell="B364" sqref="B364"/>
    </sheetView>
  </sheetViews>
  <sheetFormatPr baseColWidth="10" defaultColWidth="8.6640625" defaultRowHeight="18" x14ac:dyDescent="0.2"/>
  <cols>
    <col min="1" max="1" width="4.1640625" style="143" customWidth="1"/>
    <col min="2" max="2" width="86.1640625" style="142" customWidth="1"/>
    <col min="3" max="3" width="41.1640625" style="144" customWidth="1"/>
    <col min="4" max="5" width="17.6640625" style="171" customWidth="1"/>
    <col min="6" max="6" width="22.6640625" style="85" customWidth="1"/>
    <col min="7" max="7" width="16.1640625" style="3" customWidth="1"/>
    <col min="8" max="8" width="12.1640625" style="3" customWidth="1"/>
    <col min="9" max="9" width="9.5" style="3" bestFit="1" customWidth="1"/>
    <col min="10" max="77" width="8.6640625" style="3"/>
    <col min="78" max="16384" width="8.6640625" style="1"/>
  </cols>
  <sheetData>
    <row r="1" spans="1:77" x14ac:dyDescent="0.2">
      <c r="A1" s="145"/>
      <c r="B1" s="215" t="s">
        <v>98</v>
      </c>
      <c r="C1" s="215"/>
      <c r="D1" s="215"/>
      <c r="E1" s="173"/>
    </row>
    <row r="2" spans="1:77" x14ac:dyDescent="0.2">
      <c r="A2" s="28"/>
      <c r="B2" s="216" t="s">
        <v>308</v>
      </c>
      <c r="C2" s="216"/>
      <c r="D2" s="216"/>
      <c r="E2" s="148"/>
      <c r="F2" s="195">
        <f>SUM(D69+D75+D98+D99+D112+D116+D128+D138+D153+D162)</f>
        <v>1000000</v>
      </c>
    </row>
    <row r="3" spans="1:77" s="9" customFormat="1" ht="16" x14ac:dyDescent="0.2">
      <c r="A3" s="28"/>
      <c r="B3" s="18" t="s">
        <v>309</v>
      </c>
      <c r="C3" s="19"/>
      <c r="D3" s="149"/>
      <c r="E3" s="148"/>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9" customFormat="1" ht="16" x14ac:dyDescent="0.2">
      <c r="A4" s="28"/>
      <c r="B4" s="20"/>
      <c r="C4" s="21" t="s">
        <v>110</v>
      </c>
      <c r="D4" s="150" t="s">
        <v>190</v>
      </c>
      <c r="E4" s="146"/>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9" customFormat="1" ht="16" x14ac:dyDescent="0.2">
      <c r="A5" s="28"/>
      <c r="B5" s="22" t="s">
        <v>92</v>
      </c>
      <c r="C5" s="23">
        <f>SUM(E37)</f>
        <v>927500000</v>
      </c>
      <c r="D5" s="151">
        <f>+C5/C12</f>
        <v>0.83743775647942065</v>
      </c>
      <c r="E5" s="14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77" s="9" customFormat="1" ht="16" x14ac:dyDescent="0.2">
      <c r="A6" s="28"/>
      <c r="B6" s="22" t="s">
        <v>97</v>
      </c>
      <c r="C6" s="23">
        <f>SUM(E210)</f>
        <v>55386000</v>
      </c>
      <c r="D6" s="151">
        <f>+C6/C12</f>
        <v>5.0007900356193201E-2</v>
      </c>
      <c r="E6" s="148"/>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row>
    <row r="7" spans="1:77" s="15" customFormat="1" ht="16" x14ac:dyDescent="0.2">
      <c r="A7" s="28"/>
      <c r="B7" s="22" t="s">
        <v>232</v>
      </c>
      <c r="C7" s="23">
        <f>E342</f>
        <v>41269000</v>
      </c>
      <c r="D7" s="151">
        <f>+C7/C12</f>
        <v>3.7261691398543628E-2</v>
      </c>
      <c r="E7" s="148"/>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row>
    <row r="8" spans="1:77" s="9" customFormat="1" ht="16" x14ac:dyDescent="0.2">
      <c r="A8" s="28"/>
      <c r="B8" s="22" t="s">
        <v>93</v>
      </c>
      <c r="C8" s="23">
        <f>SUM(E441)</f>
        <v>10660000</v>
      </c>
      <c r="D8" s="151">
        <f>+C8/C12</f>
        <v>9.6248910879467645E-3</v>
      </c>
      <c r="E8" s="148"/>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s="9" customFormat="1" ht="16" x14ac:dyDescent="0.2">
      <c r="A9" s="28"/>
      <c r="B9" s="22" t="s">
        <v>94</v>
      </c>
      <c r="C9" s="23">
        <f>SUM(C499)</f>
        <v>59730000</v>
      </c>
      <c r="D9" s="151">
        <f>+C9/C12</f>
        <v>5.3930088619424041E-2</v>
      </c>
      <c r="E9" s="148"/>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1:77" s="9" customFormat="1" ht="16" x14ac:dyDescent="0.2">
      <c r="A10" s="28"/>
      <c r="B10" s="22" t="s">
        <v>95</v>
      </c>
      <c r="C10" s="23">
        <f>SUM(E499)</f>
        <v>13000000</v>
      </c>
      <c r="D10" s="151">
        <f>+C10/C12</f>
        <v>1.1737672058471664E-2</v>
      </c>
      <c r="E10" s="14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row>
    <row r="11" spans="1:77" s="9" customFormat="1" ht="16" x14ac:dyDescent="0.2">
      <c r="A11" s="37"/>
      <c r="B11" s="24"/>
      <c r="C11" s="25"/>
      <c r="D11" s="152"/>
      <c r="E11" s="152"/>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row>
    <row r="12" spans="1:77" s="9" customFormat="1" x14ac:dyDescent="0.2">
      <c r="A12" s="28"/>
      <c r="B12" s="26" t="s">
        <v>109</v>
      </c>
      <c r="C12" s="27">
        <f>SUM(C5:C10)</f>
        <v>1107545000</v>
      </c>
      <c r="D12" s="153">
        <f>SUM(D5:D10)</f>
        <v>0.99999999999999989</v>
      </c>
      <c r="E12" s="154"/>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ht="19.25" customHeight="1" x14ac:dyDescent="0.2">
      <c r="A13" s="28">
        <v>1</v>
      </c>
      <c r="B13" s="28" t="s">
        <v>373</v>
      </c>
      <c r="C13" s="29"/>
      <c r="D13" s="148"/>
      <c r="E13" s="148"/>
      <c r="F13" s="3"/>
    </row>
    <row r="14" spans="1:77" ht="79.75" customHeight="1" x14ac:dyDescent="0.2">
      <c r="A14" s="37"/>
      <c r="B14" s="202" t="s">
        <v>423</v>
      </c>
      <c r="C14" s="217"/>
      <c r="D14" s="217"/>
      <c r="E14" s="217"/>
      <c r="F14" s="3"/>
    </row>
    <row r="15" spans="1:77" ht="16" x14ac:dyDescent="0.2">
      <c r="A15" s="66"/>
      <c r="B15" s="75" t="s">
        <v>33</v>
      </c>
      <c r="C15" s="74"/>
      <c r="D15" s="76">
        <v>280000000</v>
      </c>
      <c r="E15" s="95"/>
      <c r="F15" s="3"/>
    </row>
    <row r="16" spans="1:77" ht="16" x14ac:dyDescent="0.2">
      <c r="A16" s="66"/>
      <c r="B16" s="75" t="s">
        <v>171</v>
      </c>
      <c r="C16" s="74"/>
      <c r="D16" s="72">
        <v>99000000</v>
      </c>
      <c r="E16" s="95"/>
      <c r="F16" s="3"/>
    </row>
    <row r="17" spans="1:77" ht="16" x14ac:dyDescent="0.2">
      <c r="A17" s="66"/>
      <c r="B17" s="75" t="s">
        <v>138</v>
      </c>
      <c r="C17" s="74"/>
      <c r="D17" s="72">
        <v>60000000</v>
      </c>
      <c r="E17" s="95"/>
      <c r="F17" s="3"/>
    </row>
    <row r="18" spans="1:77" ht="16" x14ac:dyDescent="0.2">
      <c r="A18" s="66"/>
      <c r="B18" s="75" t="s">
        <v>137</v>
      </c>
      <c r="C18" s="74"/>
      <c r="D18" s="72">
        <v>50000000</v>
      </c>
      <c r="E18" s="95"/>
      <c r="F18" s="3"/>
    </row>
    <row r="19" spans="1:77" ht="16" x14ac:dyDescent="0.2">
      <c r="A19" s="66"/>
      <c r="B19" s="75" t="s">
        <v>34</v>
      </c>
      <c r="C19" s="74"/>
      <c r="D19" s="72">
        <v>55000000</v>
      </c>
      <c r="E19" s="95"/>
      <c r="F19" s="3"/>
    </row>
    <row r="20" spans="1:77" ht="16" x14ac:dyDescent="0.2">
      <c r="A20" s="66"/>
      <c r="B20" s="75" t="s">
        <v>35</v>
      </c>
      <c r="C20" s="74"/>
      <c r="D20" s="72">
        <v>60000000</v>
      </c>
      <c r="E20" s="95"/>
      <c r="F20" s="3"/>
    </row>
    <row r="21" spans="1:77" ht="16" x14ac:dyDescent="0.2">
      <c r="A21" s="66"/>
      <c r="B21" s="75" t="s">
        <v>104</v>
      </c>
      <c r="C21" s="71"/>
      <c r="D21" s="72">
        <v>60000000</v>
      </c>
      <c r="E21" s="95"/>
      <c r="F21" s="3"/>
    </row>
    <row r="22" spans="1:77" ht="17" x14ac:dyDescent="0.2">
      <c r="A22" s="66"/>
      <c r="B22" s="48" t="s">
        <v>36</v>
      </c>
      <c r="C22" s="71"/>
      <c r="D22" s="76">
        <v>8000000</v>
      </c>
      <c r="E22" s="95"/>
      <c r="F22" s="3"/>
    </row>
    <row r="23" spans="1:77" s="14" customFormat="1" ht="17" x14ac:dyDescent="0.2">
      <c r="A23" s="66"/>
      <c r="B23" s="48" t="s">
        <v>310</v>
      </c>
      <c r="C23" s="71"/>
      <c r="D23" s="76">
        <v>20000000</v>
      </c>
      <c r="E23" s="95"/>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1:77" ht="16" x14ac:dyDescent="0.2">
      <c r="A24" s="66"/>
      <c r="B24" s="75" t="s">
        <v>173</v>
      </c>
      <c r="C24" s="71"/>
      <c r="D24" s="72">
        <v>15000000</v>
      </c>
      <c r="E24" s="95"/>
      <c r="F24" s="3"/>
    </row>
    <row r="25" spans="1:77" s="6" customFormat="1" ht="16" x14ac:dyDescent="0.2">
      <c r="A25" s="66"/>
      <c r="B25" s="75" t="s">
        <v>172</v>
      </c>
      <c r="C25" s="71"/>
      <c r="D25" s="72">
        <v>8000000</v>
      </c>
      <c r="E25" s="95"/>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row>
    <row r="26" spans="1:77" ht="16" x14ac:dyDescent="0.2">
      <c r="A26" s="66"/>
      <c r="B26" s="75" t="s">
        <v>105</v>
      </c>
      <c r="C26" s="71"/>
      <c r="D26" s="72">
        <v>12000000</v>
      </c>
      <c r="E26" s="95"/>
      <c r="F26" s="3"/>
    </row>
    <row r="27" spans="1:77" ht="16" x14ac:dyDescent="0.2">
      <c r="A27" s="66"/>
      <c r="B27" s="75" t="s">
        <v>106</v>
      </c>
      <c r="C27" s="71"/>
      <c r="D27" s="72">
        <v>12000000</v>
      </c>
      <c r="E27" s="95"/>
      <c r="F27" s="3"/>
    </row>
    <row r="28" spans="1:77" ht="16" x14ac:dyDescent="0.2">
      <c r="A28" s="66"/>
      <c r="B28" s="75" t="s">
        <v>107</v>
      </c>
      <c r="C28" s="71"/>
      <c r="D28" s="72">
        <v>11000000</v>
      </c>
      <c r="E28" s="95"/>
      <c r="F28" s="3"/>
    </row>
    <row r="29" spans="1:77" ht="16" x14ac:dyDescent="0.2">
      <c r="A29" s="66"/>
      <c r="B29" s="75" t="s">
        <v>135</v>
      </c>
      <c r="C29" s="71"/>
      <c r="D29" s="76">
        <v>8000000</v>
      </c>
      <c r="E29" s="95"/>
      <c r="F29" s="3"/>
    </row>
    <row r="30" spans="1:77" ht="21.75" customHeight="1" x14ac:dyDescent="0.2">
      <c r="A30" s="66"/>
      <c r="B30" s="221" t="s">
        <v>167</v>
      </c>
      <c r="C30" s="220"/>
      <c r="D30" s="72">
        <v>16000000</v>
      </c>
      <c r="E30" s="95"/>
      <c r="F30" s="3"/>
    </row>
    <row r="31" spans="1:77" ht="16" x14ac:dyDescent="0.2">
      <c r="A31" s="66"/>
      <c r="B31" s="75" t="s">
        <v>37</v>
      </c>
      <c r="C31" s="71"/>
      <c r="D31" s="72">
        <v>40000000</v>
      </c>
      <c r="E31" s="95"/>
      <c r="F31" s="3"/>
    </row>
    <row r="32" spans="1:77" ht="16" x14ac:dyDescent="0.2">
      <c r="A32" s="66"/>
      <c r="B32" s="75" t="s">
        <v>38</v>
      </c>
      <c r="C32" s="71"/>
      <c r="D32" s="72">
        <v>80000000</v>
      </c>
      <c r="E32" s="95"/>
      <c r="F32" s="3"/>
    </row>
    <row r="33" spans="1:77" ht="16" x14ac:dyDescent="0.2">
      <c r="A33" s="66"/>
      <c r="B33" s="77" t="s">
        <v>102</v>
      </c>
      <c r="C33" s="71"/>
      <c r="D33" s="76">
        <v>8000000</v>
      </c>
      <c r="E33" s="95"/>
      <c r="F33" s="3"/>
    </row>
    <row r="34" spans="1:77" ht="38.25" customHeight="1" x14ac:dyDescent="0.2">
      <c r="A34" s="66"/>
      <c r="B34" s="219" t="s">
        <v>101</v>
      </c>
      <c r="C34" s="220"/>
      <c r="D34" s="72">
        <f>15000000*1.1</f>
        <v>16500000.000000002</v>
      </c>
      <c r="E34" s="95"/>
      <c r="F34" s="3"/>
    </row>
    <row r="35" spans="1:77" s="17" customFormat="1" ht="24.5" customHeight="1" x14ac:dyDescent="0.2">
      <c r="A35" s="66"/>
      <c r="B35" s="78" t="s">
        <v>517</v>
      </c>
      <c r="C35" s="71"/>
      <c r="D35" s="72">
        <f>600000*15</f>
        <v>9000000</v>
      </c>
      <c r="E35" s="95"/>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row>
    <row r="36" spans="1:77" ht="16" x14ac:dyDescent="0.2">
      <c r="A36" s="37"/>
      <c r="B36" s="37"/>
      <c r="C36" s="38"/>
      <c r="D36" s="39"/>
      <c r="E36" s="40"/>
      <c r="F36" s="3"/>
    </row>
    <row r="37" spans="1:77" ht="17" x14ac:dyDescent="0.2">
      <c r="A37" s="28"/>
      <c r="B37" s="91"/>
      <c r="C37" s="41" t="s">
        <v>96</v>
      </c>
      <c r="D37" s="155"/>
      <c r="E37" s="156">
        <f>SUM(D15:D35)</f>
        <v>927500000</v>
      </c>
      <c r="F37" s="3"/>
    </row>
    <row r="38" spans="1:77" ht="17" x14ac:dyDescent="0.2">
      <c r="A38" s="28">
        <v>2</v>
      </c>
      <c r="B38" s="42" t="s">
        <v>226</v>
      </c>
      <c r="C38" s="29"/>
      <c r="D38" s="157"/>
      <c r="E38" s="157"/>
      <c r="F38" s="3"/>
    </row>
    <row r="39" spans="1:77" ht="16" x14ac:dyDescent="0.2">
      <c r="A39" s="28"/>
      <c r="B39" s="42"/>
      <c r="C39" s="29"/>
      <c r="D39" s="157"/>
      <c r="E39" s="157"/>
      <c r="F39" s="3"/>
    </row>
    <row r="40" spans="1:77" ht="17" x14ac:dyDescent="0.2">
      <c r="A40" s="28" t="s">
        <v>243</v>
      </c>
      <c r="B40" s="98" t="s">
        <v>1</v>
      </c>
      <c r="C40" s="29"/>
      <c r="D40" s="157"/>
      <c r="E40" s="157"/>
      <c r="F40" s="3"/>
    </row>
    <row r="41" spans="1:77" ht="33" customHeight="1" x14ac:dyDescent="0.2">
      <c r="A41" s="37"/>
      <c r="B41" s="223" t="s">
        <v>195</v>
      </c>
      <c r="C41" s="223"/>
      <c r="D41" s="223"/>
      <c r="E41" s="223"/>
      <c r="F41" s="3"/>
    </row>
    <row r="42" spans="1:77" ht="19.25" customHeight="1" x14ac:dyDescent="0.2">
      <c r="A42" s="66"/>
      <c r="B42" s="48" t="s">
        <v>22</v>
      </c>
      <c r="C42" s="74"/>
      <c r="D42" s="72">
        <v>100000</v>
      </c>
      <c r="E42" s="73"/>
      <c r="F42" s="3"/>
    </row>
    <row r="43" spans="1:77" ht="17" x14ac:dyDescent="0.2">
      <c r="A43" s="28"/>
      <c r="B43" s="43" t="s">
        <v>0</v>
      </c>
      <c r="C43" s="29"/>
      <c r="D43" s="157"/>
      <c r="E43" s="36">
        <f>SUM(D42)</f>
        <v>100000</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ht="16" x14ac:dyDescent="0.2">
      <c r="A44" s="37"/>
      <c r="B44" s="37"/>
      <c r="C44" s="38"/>
      <c r="D44" s="44"/>
      <c r="E44" s="40"/>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ht="16" x14ac:dyDescent="0.2">
      <c r="A45" s="28" t="s">
        <v>244</v>
      </c>
      <c r="B45" s="209" t="s">
        <v>136</v>
      </c>
      <c r="C45" s="209"/>
      <c r="D45" s="157"/>
      <c r="E45" s="157"/>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ht="244" customHeight="1" x14ac:dyDescent="0.2">
      <c r="A46" s="37"/>
      <c r="B46" s="226" t="s">
        <v>198</v>
      </c>
      <c r="C46" s="226"/>
      <c r="D46" s="226"/>
      <c r="E46" s="226"/>
      <c r="F46" s="3"/>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1:77" s="8" customFormat="1" x14ac:dyDescent="0.2">
      <c r="A47" s="61"/>
      <c r="B47" s="48" t="s">
        <v>17</v>
      </c>
      <c r="C47" s="74"/>
      <c r="D47" s="72">
        <f>6055000-60000</f>
        <v>5995000</v>
      </c>
      <c r="E47" s="86"/>
      <c r="F47" s="84"/>
    </row>
    <row r="48" spans="1:77" s="8" customFormat="1" x14ac:dyDescent="0.2">
      <c r="A48" s="61"/>
      <c r="B48" s="48" t="s">
        <v>19</v>
      </c>
      <c r="C48" s="74"/>
      <c r="D48" s="72">
        <v>3068000</v>
      </c>
      <c r="E48" s="86"/>
      <c r="F48" s="84"/>
    </row>
    <row r="49" spans="1:77" s="8" customFormat="1" ht="17" x14ac:dyDescent="0.2">
      <c r="A49" s="61"/>
      <c r="B49" s="48" t="s">
        <v>18</v>
      </c>
      <c r="C49" s="74"/>
      <c r="D49" s="72">
        <v>4000000</v>
      </c>
      <c r="E49" s="73"/>
    </row>
    <row r="50" spans="1:77" s="8" customFormat="1" ht="17" x14ac:dyDescent="0.2">
      <c r="A50" s="61"/>
      <c r="B50" s="48" t="s">
        <v>130</v>
      </c>
      <c r="C50" s="74"/>
      <c r="D50" s="72">
        <f>6000000-464000</f>
        <v>5536000</v>
      </c>
      <c r="E50" s="73"/>
    </row>
    <row r="51" spans="1:77" s="8" customFormat="1" ht="17" x14ac:dyDescent="0.2">
      <c r="A51" s="61"/>
      <c r="B51" s="48" t="s">
        <v>23</v>
      </c>
      <c r="C51" s="71"/>
      <c r="D51" s="72">
        <v>1050000</v>
      </c>
      <c r="E51" s="73"/>
    </row>
    <row r="52" spans="1:77" s="8" customFormat="1" x14ac:dyDescent="0.2">
      <c r="A52" s="61"/>
      <c r="B52" s="48" t="s">
        <v>20</v>
      </c>
      <c r="C52" s="48"/>
      <c r="D52" s="72">
        <f>324000+26000</f>
        <v>350000</v>
      </c>
      <c r="E52" s="86"/>
      <c r="F52" s="84"/>
    </row>
    <row r="53" spans="1:77" ht="17" x14ac:dyDescent="0.2">
      <c r="A53" s="28"/>
      <c r="B53" s="45" t="s">
        <v>0</v>
      </c>
      <c r="C53" s="30"/>
      <c r="D53" s="49"/>
      <c r="E53" s="46">
        <f>SUM(D47:D52)</f>
        <v>19999000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row r="54" spans="1:77" ht="16" x14ac:dyDescent="0.2">
      <c r="A54" s="37"/>
      <c r="B54" s="37"/>
      <c r="C54" s="38"/>
      <c r="D54" s="44"/>
      <c r="E54" s="40"/>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ht="17" x14ac:dyDescent="0.2">
      <c r="A55" s="28" t="s">
        <v>245</v>
      </c>
      <c r="B55" s="98" t="s">
        <v>157</v>
      </c>
      <c r="C55" s="29"/>
      <c r="D55" s="157"/>
      <c r="E55" s="157"/>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ht="22.25" customHeight="1" x14ac:dyDescent="0.2">
      <c r="A56" s="37"/>
      <c r="B56" s="210" t="s">
        <v>312</v>
      </c>
      <c r="C56" s="210"/>
      <c r="D56" s="210"/>
      <c r="E56" s="21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ht="16" x14ac:dyDescent="0.2">
      <c r="A57" s="28"/>
      <c r="B57" s="209" t="s">
        <v>515</v>
      </c>
      <c r="C57" s="209"/>
      <c r="D57" s="49"/>
      <c r="E57" s="157"/>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77" s="8" customFormat="1" x14ac:dyDescent="0.2">
      <c r="A58" s="66"/>
      <c r="B58" s="48" t="s">
        <v>2</v>
      </c>
      <c r="C58" s="48" t="s">
        <v>516</v>
      </c>
      <c r="D58" s="72">
        <f>120000*2</f>
        <v>240000</v>
      </c>
      <c r="E58" s="86"/>
      <c r="F58" s="84"/>
    </row>
    <row r="59" spans="1:77" s="8" customFormat="1" ht="16" x14ac:dyDescent="0.2">
      <c r="A59" s="66"/>
      <c r="B59" s="218" t="s">
        <v>187</v>
      </c>
      <c r="C59" s="218"/>
      <c r="D59" s="73"/>
      <c r="E59" s="73"/>
    </row>
    <row r="60" spans="1:77" s="8" customFormat="1" x14ac:dyDescent="0.2">
      <c r="A60" s="66"/>
      <c r="B60" s="48" t="s">
        <v>149</v>
      </c>
      <c r="C60" s="48" t="s">
        <v>396</v>
      </c>
      <c r="D60" s="73">
        <f>40000*3</f>
        <v>120000</v>
      </c>
      <c r="E60" s="86"/>
      <c r="F60" s="84"/>
    </row>
    <row r="61" spans="1:77" s="8" customFormat="1" x14ac:dyDescent="0.2">
      <c r="A61" s="66"/>
      <c r="B61" s="48" t="s">
        <v>20</v>
      </c>
      <c r="C61" s="48" t="s">
        <v>395</v>
      </c>
      <c r="D61" s="73">
        <f>7000*3</f>
        <v>21000</v>
      </c>
      <c r="E61" s="86"/>
      <c r="F61" s="84"/>
    </row>
    <row r="62" spans="1:77" s="16" customFormat="1" ht="16" x14ac:dyDescent="0.2">
      <c r="A62" s="28"/>
      <c r="B62" s="33"/>
      <c r="C62" s="33"/>
      <c r="D62" s="31"/>
      <c r="E62" s="36">
        <f>SUM(D58:D61)</f>
        <v>381000</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row>
    <row r="63" spans="1:77" s="17" customFormat="1" ht="16" x14ac:dyDescent="0.2">
      <c r="A63" s="37"/>
      <c r="B63" s="37"/>
      <c r="C63" s="38"/>
      <c r="D63" s="44"/>
      <c r="E63" s="40"/>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row>
    <row r="64" spans="1:77" s="17" customFormat="1" ht="17" customHeight="1" x14ac:dyDescent="0.2">
      <c r="A64" s="28" t="s">
        <v>246</v>
      </c>
      <c r="B64" s="69" t="s">
        <v>202</v>
      </c>
      <c r="C64" s="30"/>
      <c r="D64" s="49"/>
      <c r="E64" s="49"/>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row>
    <row r="65" spans="1:77" s="17" customFormat="1" ht="33.5" customHeight="1" x14ac:dyDescent="0.2">
      <c r="A65" s="90"/>
      <c r="B65" s="199" t="s">
        <v>209</v>
      </c>
      <c r="C65" s="199"/>
      <c r="D65" s="199"/>
      <c r="E65" s="199"/>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row>
    <row r="66" spans="1:77" s="8" customFormat="1" ht="17" customHeight="1" x14ac:dyDescent="0.2">
      <c r="A66" s="66"/>
      <c r="B66" s="99" t="s">
        <v>233</v>
      </c>
      <c r="C66" s="48"/>
      <c r="D66" s="72">
        <f>D67+D68+D69+D70</f>
        <v>644000</v>
      </c>
      <c r="E66" s="73"/>
    </row>
    <row r="67" spans="1:77" s="8" customFormat="1" ht="17" customHeight="1" x14ac:dyDescent="0.2">
      <c r="A67" s="66"/>
      <c r="B67" s="48" t="s">
        <v>208</v>
      </c>
      <c r="C67" s="48" t="s">
        <v>313</v>
      </c>
      <c r="D67" s="72">
        <v>120000</v>
      </c>
      <c r="E67" s="86"/>
      <c r="F67" s="84"/>
    </row>
    <row r="68" spans="1:77" s="8" customFormat="1" ht="17" customHeight="1" x14ac:dyDescent="0.2">
      <c r="A68" s="66"/>
      <c r="B68" s="48" t="s">
        <v>32</v>
      </c>
      <c r="C68" s="48" t="s">
        <v>234</v>
      </c>
      <c r="D68" s="72">
        <f>SUM(2000*2*120)</f>
        <v>480000</v>
      </c>
      <c r="E68" s="73"/>
    </row>
    <row r="69" spans="1:77" s="8" customFormat="1" ht="17" customHeight="1" x14ac:dyDescent="0.2">
      <c r="A69" s="66"/>
      <c r="B69" s="194" t="s">
        <v>3</v>
      </c>
      <c r="C69" s="194" t="s">
        <v>522</v>
      </c>
      <c r="D69" s="72">
        <v>24000</v>
      </c>
      <c r="E69" s="73"/>
    </row>
    <row r="70" spans="1:77" s="8" customFormat="1" ht="17" customHeight="1" x14ac:dyDescent="0.2">
      <c r="A70" s="66"/>
      <c r="B70" s="194" t="s">
        <v>203</v>
      </c>
      <c r="C70" s="194" t="s">
        <v>287</v>
      </c>
      <c r="D70" s="72">
        <v>20000</v>
      </c>
      <c r="E70" s="73"/>
    </row>
    <row r="71" spans="1:77" s="8" customFormat="1" ht="17" customHeight="1" x14ac:dyDescent="0.2">
      <c r="A71" s="74"/>
      <c r="B71" s="193" t="s">
        <v>397</v>
      </c>
      <c r="C71" s="194"/>
      <c r="D71" s="72">
        <f>SUM(D72:D76)</f>
        <v>357000</v>
      </c>
      <c r="E71" s="73"/>
    </row>
    <row r="72" spans="1:77" s="8" customFormat="1" ht="17" customHeight="1" x14ac:dyDescent="0.2">
      <c r="A72" s="66"/>
      <c r="B72" s="194" t="s">
        <v>208</v>
      </c>
      <c r="C72" s="194" t="s">
        <v>313</v>
      </c>
      <c r="D72" s="72">
        <f>60000*2</f>
        <v>120000</v>
      </c>
      <c r="E72" s="86"/>
      <c r="F72" s="84"/>
    </row>
    <row r="73" spans="1:77" s="8" customFormat="1" ht="17" customHeight="1" x14ac:dyDescent="0.2">
      <c r="A73" s="66"/>
      <c r="B73" s="194" t="s">
        <v>206</v>
      </c>
      <c r="C73" s="194" t="s">
        <v>314</v>
      </c>
      <c r="D73" s="72">
        <f>100*2*3*120</f>
        <v>72000</v>
      </c>
      <c r="E73" s="86"/>
      <c r="F73" s="84"/>
    </row>
    <row r="74" spans="1:77" s="8" customFormat="1" ht="17" customHeight="1" x14ac:dyDescent="0.2">
      <c r="A74" s="66"/>
      <c r="B74" s="194" t="s">
        <v>203</v>
      </c>
      <c r="C74" s="194" t="s">
        <v>288</v>
      </c>
      <c r="D74" s="72">
        <v>5000</v>
      </c>
      <c r="E74" s="73"/>
    </row>
    <row r="75" spans="1:77" s="8" customFormat="1" ht="17" customHeight="1" x14ac:dyDescent="0.2">
      <c r="A75" s="66"/>
      <c r="B75" s="194" t="s">
        <v>518</v>
      </c>
      <c r="C75" s="107" t="s">
        <v>523</v>
      </c>
      <c r="D75" s="72">
        <v>40000</v>
      </c>
      <c r="E75" s="73"/>
    </row>
    <row r="76" spans="1:77" s="8" customFormat="1" ht="17" customHeight="1" x14ac:dyDescent="0.2">
      <c r="A76" s="66"/>
      <c r="B76" s="48" t="s">
        <v>222</v>
      </c>
      <c r="C76" s="48" t="s">
        <v>223</v>
      </c>
      <c r="D76" s="72">
        <f>SUM(1000*120)</f>
        <v>120000</v>
      </c>
      <c r="E76" s="73"/>
    </row>
    <row r="77" spans="1:77" s="8" customFormat="1" ht="17" customHeight="1" x14ac:dyDescent="0.2">
      <c r="A77" s="66"/>
      <c r="B77" s="189" t="s">
        <v>409</v>
      </c>
      <c r="C77" s="48"/>
      <c r="D77" s="72">
        <f>D78+D79</f>
        <v>387000</v>
      </c>
      <c r="E77" s="73"/>
    </row>
    <row r="78" spans="1:77" s="8" customFormat="1" ht="17" customHeight="1" x14ac:dyDescent="0.2">
      <c r="A78" s="66"/>
      <c r="B78" s="48" t="s">
        <v>398</v>
      </c>
      <c r="C78" s="48" t="s">
        <v>316</v>
      </c>
      <c r="D78" s="72">
        <f>75000*3</f>
        <v>225000</v>
      </c>
      <c r="E78" s="86"/>
      <c r="F78" s="84"/>
    </row>
    <row r="79" spans="1:77" s="8" customFormat="1" ht="17" customHeight="1" x14ac:dyDescent="0.2">
      <c r="A79" s="66"/>
      <c r="B79" s="48" t="s">
        <v>207</v>
      </c>
      <c r="C79" s="48" t="s">
        <v>317</v>
      </c>
      <c r="D79" s="72">
        <f>150*3*3*120</f>
        <v>162000</v>
      </c>
      <c r="E79" s="86"/>
      <c r="F79" s="84"/>
    </row>
    <row r="80" spans="1:77" s="8" customFormat="1" ht="17" customHeight="1" x14ac:dyDescent="0.2">
      <c r="A80" s="66"/>
      <c r="B80" s="180" t="s">
        <v>318</v>
      </c>
      <c r="C80" s="48"/>
      <c r="D80" s="72"/>
      <c r="E80" s="86"/>
      <c r="F80" s="84"/>
    </row>
    <row r="81" spans="1:77" s="8" customFormat="1" ht="17" customHeight="1" x14ac:dyDescent="0.2">
      <c r="A81" s="66"/>
      <c r="B81" s="48" t="s">
        <v>485</v>
      </c>
      <c r="C81" s="48" t="s">
        <v>486</v>
      </c>
      <c r="D81" s="72">
        <v>800000</v>
      </c>
      <c r="E81" s="80"/>
      <c r="F81" s="84"/>
    </row>
    <row r="82" spans="1:77" s="8" customFormat="1" ht="17" customHeight="1" x14ac:dyDescent="0.2">
      <c r="A82" s="66"/>
      <c r="B82" s="48" t="s">
        <v>487</v>
      </c>
      <c r="C82" s="48" t="s">
        <v>488</v>
      </c>
      <c r="D82" s="72">
        <v>400000</v>
      </c>
      <c r="E82" s="80"/>
      <c r="F82" s="84"/>
    </row>
    <row r="83" spans="1:77" s="8" customFormat="1" ht="17" customHeight="1" x14ac:dyDescent="0.2">
      <c r="A83" s="66"/>
      <c r="B83" s="180" t="s">
        <v>489</v>
      </c>
      <c r="C83" s="48" t="s">
        <v>490</v>
      </c>
      <c r="D83" s="72">
        <v>3000000</v>
      </c>
      <c r="E83" s="80"/>
      <c r="F83" s="84"/>
    </row>
    <row r="84" spans="1:77" s="17" customFormat="1" ht="17" customHeight="1" x14ac:dyDescent="0.2">
      <c r="A84" s="28"/>
      <c r="B84" s="45" t="s">
        <v>0</v>
      </c>
      <c r="C84" s="30"/>
      <c r="D84" s="49"/>
      <c r="E84" s="46">
        <f>D66+D71+D77+D81+D82+D83</f>
        <v>5588000</v>
      </c>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s="17" customFormat="1" ht="16" x14ac:dyDescent="0.2">
      <c r="A85" s="100"/>
      <c r="B85" s="37"/>
      <c r="C85" s="38"/>
      <c r="D85" s="44"/>
      <c r="E85" s="40"/>
      <c r="F85" s="3"/>
      <c r="G85" s="195"/>
      <c r="H85" s="3"/>
      <c r="I85" s="195"/>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17" x14ac:dyDescent="0.2">
      <c r="A86" s="28" t="s">
        <v>251</v>
      </c>
      <c r="B86" s="98" t="s">
        <v>29</v>
      </c>
      <c r="C86" s="29"/>
      <c r="D86" s="157"/>
      <c r="E86" s="157"/>
      <c r="F86" s="3"/>
    </row>
    <row r="87" spans="1:77" ht="49.25" customHeight="1" x14ac:dyDescent="0.2">
      <c r="A87" s="100"/>
      <c r="B87" s="210" t="s">
        <v>319</v>
      </c>
      <c r="C87" s="210"/>
      <c r="D87" s="210"/>
      <c r="E87" s="211"/>
      <c r="F87" s="3"/>
    </row>
    <row r="88" spans="1:77" s="8" customFormat="1" ht="21" customHeight="1" x14ac:dyDescent="0.2">
      <c r="A88" s="66"/>
      <c r="B88" s="48" t="s">
        <v>186</v>
      </c>
      <c r="C88" s="48" t="s">
        <v>503</v>
      </c>
      <c r="D88" s="72">
        <v>1700000</v>
      </c>
      <c r="E88" s="73"/>
    </row>
    <row r="89" spans="1:77" s="8" customFormat="1" ht="17" x14ac:dyDescent="0.2">
      <c r="A89" s="66"/>
      <c r="B89" s="48" t="s">
        <v>4</v>
      </c>
      <c r="C89" s="48" t="s">
        <v>304</v>
      </c>
      <c r="D89" s="72">
        <v>36000</v>
      </c>
      <c r="E89" s="73"/>
    </row>
    <row r="90" spans="1:77" s="8" customFormat="1" ht="17" x14ac:dyDescent="0.2">
      <c r="A90" s="66"/>
      <c r="B90" s="74" t="s">
        <v>25</v>
      </c>
      <c r="C90" s="104" t="s">
        <v>289</v>
      </c>
      <c r="D90" s="73">
        <v>150000</v>
      </c>
      <c r="E90" s="73"/>
    </row>
    <row r="91" spans="1:77" s="8" customFormat="1" ht="17" x14ac:dyDescent="0.2">
      <c r="A91" s="66"/>
      <c r="B91" s="179" t="s">
        <v>519</v>
      </c>
      <c r="C91" s="105" t="s">
        <v>320</v>
      </c>
      <c r="D91" s="72">
        <v>280000</v>
      </c>
      <c r="E91" s="73"/>
    </row>
    <row r="92" spans="1:77" s="8" customFormat="1" ht="17" x14ac:dyDescent="0.2">
      <c r="A92" s="66"/>
      <c r="B92" s="194" t="s">
        <v>5</v>
      </c>
      <c r="C92" s="194" t="s">
        <v>525</v>
      </c>
      <c r="D92" s="72">
        <v>50000</v>
      </c>
      <c r="E92" s="73"/>
    </row>
    <row r="93" spans="1:77" s="8" customFormat="1" ht="17" x14ac:dyDescent="0.2">
      <c r="A93" s="66"/>
      <c r="B93" s="48" t="s">
        <v>11</v>
      </c>
      <c r="C93" s="48" t="s">
        <v>290</v>
      </c>
      <c r="D93" s="72">
        <v>30000</v>
      </c>
      <c r="E93" s="73"/>
    </row>
    <row r="94" spans="1:77" s="8" customFormat="1" x14ac:dyDescent="0.2">
      <c r="A94" s="66"/>
      <c r="B94" s="48" t="s">
        <v>6</v>
      </c>
      <c r="C94" s="48" t="s">
        <v>200</v>
      </c>
      <c r="D94" s="72">
        <f>SUM(15*10*4*120)</f>
        <v>72000</v>
      </c>
      <c r="E94" s="86"/>
      <c r="F94" s="84"/>
    </row>
    <row r="95" spans="1:77" s="8" customFormat="1" x14ac:dyDescent="0.2">
      <c r="A95" s="66"/>
      <c r="B95" s="48" t="s">
        <v>7</v>
      </c>
      <c r="C95" s="48" t="s">
        <v>291</v>
      </c>
      <c r="D95" s="72">
        <f>SUM(8000*120)</f>
        <v>960000</v>
      </c>
      <c r="E95" s="86"/>
      <c r="F95" s="84"/>
    </row>
    <row r="96" spans="1:77" s="8" customFormat="1" x14ac:dyDescent="0.2">
      <c r="A96" s="66"/>
      <c r="B96" s="48" t="s">
        <v>199</v>
      </c>
      <c r="C96" s="48" t="s">
        <v>321</v>
      </c>
      <c r="D96" s="72">
        <f>65000*4</f>
        <v>260000</v>
      </c>
      <c r="E96" s="86"/>
      <c r="F96" s="84"/>
    </row>
    <row r="97" spans="1:77" s="8" customFormat="1" ht="17" x14ac:dyDescent="0.2">
      <c r="A97" s="66"/>
      <c r="B97" s="48" t="s">
        <v>8</v>
      </c>
      <c r="C97" s="48" t="s">
        <v>322</v>
      </c>
      <c r="D97" s="72">
        <f>12000*4</f>
        <v>48000</v>
      </c>
      <c r="E97" s="73"/>
    </row>
    <row r="98" spans="1:77" s="8" customFormat="1" ht="17" x14ac:dyDescent="0.2">
      <c r="A98" s="66"/>
      <c r="B98" s="48" t="s">
        <v>24</v>
      </c>
      <c r="C98" s="48" t="s">
        <v>303</v>
      </c>
      <c r="D98" s="72">
        <v>120000</v>
      </c>
      <c r="E98" s="80"/>
    </row>
    <row r="99" spans="1:77" s="8" customFormat="1" ht="17" x14ac:dyDescent="0.2">
      <c r="A99" s="66"/>
      <c r="B99" s="48" t="s">
        <v>188</v>
      </c>
      <c r="C99" s="48" t="s">
        <v>323</v>
      </c>
      <c r="D99" s="72">
        <v>240000</v>
      </c>
      <c r="E99" s="80"/>
    </row>
    <row r="100" spans="1:77" s="8" customFormat="1" ht="17" x14ac:dyDescent="0.2">
      <c r="A100" s="66"/>
      <c r="B100" s="48" t="s">
        <v>21</v>
      </c>
      <c r="C100" s="48" t="s">
        <v>509</v>
      </c>
      <c r="D100" s="72">
        <v>150000</v>
      </c>
      <c r="E100" s="80"/>
    </row>
    <row r="101" spans="1:77" ht="17" x14ac:dyDescent="0.2">
      <c r="A101" s="28"/>
      <c r="B101" s="43" t="s">
        <v>0</v>
      </c>
      <c r="C101" s="29"/>
      <c r="D101" s="157"/>
      <c r="E101" s="36">
        <f>SUM(D88:D100)</f>
        <v>4096000</v>
      </c>
      <c r="F101" s="3"/>
    </row>
    <row r="102" spans="1:77" ht="16" x14ac:dyDescent="0.2">
      <c r="A102" s="100"/>
      <c r="B102" s="37"/>
      <c r="C102" s="38"/>
      <c r="D102" s="44"/>
      <c r="E102" s="40"/>
      <c r="F102" s="3"/>
    </row>
    <row r="103" spans="1:77" ht="17" x14ac:dyDescent="0.2">
      <c r="A103" s="28" t="s">
        <v>247</v>
      </c>
      <c r="B103" s="98" t="s">
        <v>30</v>
      </c>
      <c r="C103" s="29"/>
      <c r="D103" s="157"/>
      <c r="E103" s="157"/>
      <c r="F103" s="3"/>
    </row>
    <row r="104" spans="1:77" ht="51" customHeight="1" x14ac:dyDescent="0.2">
      <c r="A104" s="100"/>
      <c r="B104" s="213" t="s">
        <v>324</v>
      </c>
      <c r="C104" s="213"/>
      <c r="D104" s="213"/>
      <c r="E104" s="213"/>
      <c r="F104" s="3"/>
    </row>
    <row r="105" spans="1:77" s="17" customFormat="1" ht="20" customHeight="1" x14ac:dyDescent="0.2">
      <c r="A105" s="74"/>
      <c r="B105" s="59" t="s">
        <v>325</v>
      </c>
      <c r="C105" s="47">
        <f>SUM(D106:D112)</f>
        <v>2502000</v>
      </c>
      <c r="D105" s="108"/>
      <c r="E105" s="108"/>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77" s="8" customFormat="1" ht="20" customHeight="1" x14ac:dyDescent="0.2">
      <c r="A106" s="74"/>
      <c r="B106" s="179" t="s">
        <v>25</v>
      </c>
      <c r="C106" s="179" t="s">
        <v>528</v>
      </c>
      <c r="D106" s="95">
        <v>80000</v>
      </c>
      <c r="E106" s="108"/>
    </row>
    <row r="107" spans="1:77" s="8" customFormat="1" ht="20" customHeight="1" x14ac:dyDescent="0.2">
      <c r="A107" s="74"/>
      <c r="B107" s="179" t="s">
        <v>326</v>
      </c>
      <c r="C107" s="179" t="s">
        <v>335</v>
      </c>
      <c r="D107" s="95">
        <v>120000</v>
      </c>
      <c r="E107" s="108"/>
    </row>
    <row r="108" spans="1:77" s="8" customFormat="1" ht="20" customHeight="1" x14ac:dyDescent="0.2">
      <c r="A108" s="74"/>
      <c r="B108" s="179" t="s">
        <v>327</v>
      </c>
      <c r="C108" s="179" t="s">
        <v>526</v>
      </c>
      <c r="D108" s="95">
        <v>50000</v>
      </c>
      <c r="E108" s="108"/>
    </row>
    <row r="109" spans="1:77" s="8" customFormat="1" ht="16.75" customHeight="1" x14ac:dyDescent="0.2">
      <c r="A109" s="74"/>
      <c r="B109" s="179" t="s">
        <v>328</v>
      </c>
      <c r="C109" s="179" t="s">
        <v>336</v>
      </c>
      <c r="D109" s="95">
        <f>15000*120</f>
        <v>1800000</v>
      </c>
      <c r="E109" s="174"/>
    </row>
    <row r="110" spans="1:77" s="8" customFormat="1" ht="20" customHeight="1" x14ac:dyDescent="0.2">
      <c r="A110" s="74"/>
      <c r="B110" s="179" t="s">
        <v>140</v>
      </c>
      <c r="C110" s="179" t="s">
        <v>338</v>
      </c>
      <c r="D110" s="95">
        <v>120000</v>
      </c>
      <c r="E110" s="108"/>
    </row>
    <row r="111" spans="1:77" s="8" customFormat="1" ht="20" customHeight="1" x14ac:dyDescent="0.2">
      <c r="A111" s="74"/>
      <c r="B111" s="179" t="s">
        <v>9</v>
      </c>
      <c r="C111" s="179" t="s">
        <v>337</v>
      </c>
      <c r="D111" s="95">
        <v>92000</v>
      </c>
      <c r="E111" s="108"/>
    </row>
    <row r="112" spans="1:77" s="8" customFormat="1" ht="20" customHeight="1" x14ac:dyDescent="0.2">
      <c r="A112" s="74"/>
      <c r="B112" s="179" t="s">
        <v>329</v>
      </c>
      <c r="C112" s="179" t="s">
        <v>524</v>
      </c>
      <c r="D112" s="95">
        <v>240000</v>
      </c>
      <c r="E112" s="108"/>
    </row>
    <row r="113" spans="1:77" s="8" customFormat="1" ht="20" customHeight="1" x14ac:dyDescent="0.2">
      <c r="A113" s="66"/>
      <c r="B113" s="99" t="s">
        <v>334</v>
      </c>
      <c r="C113" s="106">
        <f>SUM(D114:D120)</f>
        <v>2504000</v>
      </c>
      <c r="D113" s="95"/>
      <c r="E113" s="108"/>
    </row>
    <row r="114" spans="1:77" s="8" customFormat="1" ht="20" customHeight="1" x14ac:dyDescent="0.2">
      <c r="A114" s="74"/>
      <c r="B114" s="179" t="s">
        <v>330</v>
      </c>
      <c r="C114" s="179" t="s">
        <v>510</v>
      </c>
      <c r="D114" s="95">
        <v>1150000</v>
      </c>
      <c r="E114" s="108"/>
    </row>
    <row r="115" spans="1:77" s="8" customFormat="1" ht="17" x14ac:dyDescent="0.2">
      <c r="A115" s="66"/>
      <c r="B115" s="48" t="s">
        <v>201</v>
      </c>
      <c r="C115" s="105" t="s">
        <v>399</v>
      </c>
      <c r="D115" s="72">
        <f>SUM(45000*6)</f>
        <v>270000</v>
      </c>
      <c r="E115" s="86"/>
    </row>
    <row r="116" spans="1:77" s="8" customFormat="1" ht="17" x14ac:dyDescent="0.2">
      <c r="A116" s="66"/>
      <c r="B116" s="48" t="s">
        <v>24</v>
      </c>
      <c r="C116" s="48" t="s">
        <v>339</v>
      </c>
      <c r="D116" s="72">
        <v>144000</v>
      </c>
      <c r="E116" s="73"/>
    </row>
    <row r="117" spans="1:77" s="8" customFormat="1" ht="16" x14ac:dyDescent="0.2">
      <c r="A117" s="61"/>
      <c r="B117" s="61" t="s">
        <v>331</v>
      </c>
      <c r="C117" s="61" t="s">
        <v>340</v>
      </c>
      <c r="D117" s="95">
        <v>60000</v>
      </c>
      <c r="E117" s="73"/>
    </row>
    <row r="118" spans="1:77" s="8" customFormat="1" ht="17" x14ac:dyDescent="0.2">
      <c r="A118" s="66"/>
      <c r="B118" s="48" t="s">
        <v>168</v>
      </c>
      <c r="C118" s="48" t="s">
        <v>341</v>
      </c>
      <c r="D118" s="72">
        <v>780000</v>
      </c>
      <c r="E118" s="86"/>
    </row>
    <row r="119" spans="1:77" s="8" customFormat="1" ht="16" x14ac:dyDescent="0.2">
      <c r="A119" s="61"/>
      <c r="B119" s="61" t="s">
        <v>332</v>
      </c>
      <c r="C119" s="61" t="s">
        <v>340</v>
      </c>
      <c r="D119" s="95">
        <v>60000</v>
      </c>
      <c r="E119" s="73"/>
    </row>
    <row r="120" spans="1:77" s="8" customFormat="1" ht="16" x14ac:dyDescent="0.2">
      <c r="A120" s="61"/>
      <c r="B120" s="61" t="s">
        <v>333</v>
      </c>
      <c r="C120" s="61" t="s">
        <v>342</v>
      </c>
      <c r="D120" s="95">
        <v>40000</v>
      </c>
      <c r="E120" s="73"/>
    </row>
    <row r="121" spans="1:77" ht="17" x14ac:dyDescent="0.2">
      <c r="A121" s="28"/>
      <c r="B121" s="43" t="s">
        <v>0</v>
      </c>
      <c r="C121" s="32"/>
      <c r="D121" s="157"/>
      <c r="E121" s="36">
        <f>C105+C113</f>
        <v>5006000</v>
      </c>
      <c r="F121" s="3"/>
    </row>
    <row r="122" spans="1:77" ht="16" x14ac:dyDescent="0.2">
      <c r="A122" s="100"/>
      <c r="B122" s="37"/>
      <c r="C122" s="38"/>
      <c r="D122" s="44"/>
      <c r="E122" s="40"/>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16" x14ac:dyDescent="0.2">
      <c r="A123" s="28" t="s">
        <v>248</v>
      </c>
      <c r="B123" s="209" t="s">
        <v>31</v>
      </c>
      <c r="C123" s="209"/>
      <c r="D123" s="157"/>
      <c r="E123" s="15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ht="54.5" customHeight="1" x14ac:dyDescent="0.2">
      <c r="A124" s="100"/>
      <c r="B124" s="213" t="s">
        <v>210</v>
      </c>
      <c r="C124" s="213"/>
      <c r="D124" s="213"/>
      <c r="E124" s="21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s="8" customFormat="1" x14ac:dyDescent="0.2">
      <c r="A125" s="66"/>
      <c r="B125" s="48" t="s">
        <v>12</v>
      </c>
      <c r="C125" s="48" t="s">
        <v>400</v>
      </c>
      <c r="D125" s="72">
        <f>30000*5</f>
        <v>150000</v>
      </c>
      <c r="E125" s="86"/>
      <c r="F125" s="84"/>
    </row>
    <row r="126" spans="1:77" s="8" customFormat="1" x14ac:dyDescent="0.2">
      <c r="A126" s="66"/>
      <c r="B126" s="48" t="s">
        <v>19</v>
      </c>
      <c r="C126" s="48" t="s">
        <v>401</v>
      </c>
      <c r="D126" s="72">
        <f>90*3*5*120</f>
        <v>162000</v>
      </c>
      <c r="E126" s="86"/>
      <c r="F126" s="84"/>
    </row>
    <row r="127" spans="1:77" s="8" customFormat="1" x14ac:dyDescent="0.2">
      <c r="A127" s="66"/>
      <c r="B127" s="48" t="s">
        <v>9</v>
      </c>
      <c r="C127" s="48" t="s">
        <v>410</v>
      </c>
      <c r="D127" s="72">
        <f>15*4*5*120</f>
        <v>36000</v>
      </c>
      <c r="E127" s="86"/>
      <c r="F127" s="84"/>
    </row>
    <row r="128" spans="1:77" s="8" customFormat="1" ht="17" x14ac:dyDescent="0.2">
      <c r="A128" s="66"/>
      <c r="B128" s="48" t="s">
        <v>76</v>
      </c>
      <c r="C128" s="48" t="s">
        <v>511</v>
      </c>
      <c r="D128" s="72">
        <v>61000</v>
      </c>
      <c r="E128" s="73"/>
    </row>
    <row r="129" spans="1:77" s="8" customFormat="1" x14ac:dyDescent="0.2">
      <c r="A129" s="66"/>
      <c r="B129" s="48" t="s">
        <v>13</v>
      </c>
      <c r="C129" s="48" t="s">
        <v>512</v>
      </c>
      <c r="D129" s="72">
        <v>31000</v>
      </c>
      <c r="E129" s="86"/>
      <c r="F129" s="84"/>
    </row>
    <row r="130" spans="1:77" s="8" customFormat="1" ht="17" x14ac:dyDescent="0.2">
      <c r="A130" s="66"/>
      <c r="B130" s="48" t="s">
        <v>111</v>
      </c>
      <c r="C130" s="107" t="s">
        <v>292</v>
      </c>
      <c r="D130" s="72">
        <f>10000*120</f>
        <v>1200000</v>
      </c>
      <c r="E130" s="73"/>
    </row>
    <row r="131" spans="1:77" s="8" customFormat="1" ht="17" x14ac:dyDescent="0.2">
      <c r="A131" s="66"/>
      <c r="B131" s="79" t="s">
        <v>0</v>
      </c>
      <c r="C131" s="74"/>
      <c r="D131" s="73"/>
      <c r="E131" s="82">
        <f>SUM(D125:D130)</f>
        <v>1640000</v>
      </c>
    </row>
    <row r="132" spans="1:77" s="8" customFormat="1" ht="16" x14ac:dyDescent="0.2">
      <c r="A132" s="100"/>
      <c r="B132" s="37"/>
      <c r="C132" s="38"/>
      <c r="D132" s="44"/>
      <c r="E132" s="40"/>
    </row>
    <row r="133" spans="1:77" ht="17" x14ac:dyDescent="0.2">
      <c r="A133" s="28" t="s">
        <v>249</v>
      </c>
      <c r="B133" s="69" t="s">
        <v>113</v>
      </c>
      <c r="C133" s="30"/>
      <c r="D133" s="49"/>
      <c r="E133" s="49"/>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84" customHeight="1" x14ac:dyDescent="0.2">
      <c r="A134" s="100"/>
      <c r="B134" s="199" t="s">
        <v>521</v>
      </c>
      <c r="C134" s="199"/>
      <c r="D134" s="199"/>
      <c r="E134" s="204"/>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s="8" customFormat="1" ht="19.25" customHeight="1" x14ac:dyDescent="0.2">
      <c r="A135" s="66"/>
      <c r="B135" s="48" t="s">
        <v>114</v>
      </c>
      <c r="C135" s="48" t="s">
        <v>294</v>
      </c>
      <c r="D135" s="72">
        <f>SUM(5000*121)</f>
        <v>605000</v>
      </c>
      <c r="E135" s="73"/>
    </row>
    <row r="136" spans="1:77" s="8" customFormat="1" ht="18" customHeight="1" x14ac:dyDescent="0.2">
      <c r="A136" s="66"/>
      <c r="B136" s="48" t="s">
        <v>121</v>
      </c>
      <c r="C136" s="48" t="s">
        <v>285</v>
      </c>
      <c r="D136" s="72">
        <v>182000</v>
      </c>
      <c r="E136" s="73"/>
    </row>
    <row r="137" spans="1:77" s="102" customFormat="1" ht="18.5" customHeight="1" x14ac:dyDescent="0.2">
      <c r="A137" s="66"/>
      <c r="B137" s="48" t="s">
        <v>520</v>
      </c>
      <c r="C137" s="48" t="s">
        <v>402</v>
      </c>
      <c r="D137" s="73">
        <f>35000*6</f>
        <v>210000</v>
      </c>
      <c r="E137" s="86"/>
      <c r="F137" s="101"/>
    </row>
    <row r="138" spans="1:77" s="8" customFormat="1" ht="16.25" customHeight="1" x14ac:dyDescent="0.2">
      <c r="A138" s="66"/>
      <c r="B138" s="48" t="s">
        <v>76</v>
      </c>
      <c r="C138" s="48" t="s">
        <v>343</v>
      </c>
      <c r="D138" s="73">
        <f>200*120</f>
        <v>24000</v>
      </c>
      <c r="E138" s="73"/>
    </row>
    <row r="139" spans="1:77" s="8" customFormat="1" x14ac:dyDescent="0.2">
      <c r="A139" s="66"/>
      <c r="B139" s="74" t="s">
        <v>141</v>
      </c>
      <c r="C139" s="74" t="s">
        <v>403</v>
      </c>
      <c r="D139" s="72">
        <v>15000</v>
      </c>
      <c r="E139" s="86"/>
      <c r="F139" s="84"/>
    </row>
    <row r="140" spans="1:77" ht="17" customHeight="1" x14ac:dyDescent="0.2">
      <c r="A140" s="28"/>
      <c r="B140" s="45" t="s">
        <v>0</v>
      </c>
      <c r="C140" s="30"/>
      <c r="D140" s="49"/>
      <c r="E140" s="46">
        <f>SUM(D135:D139)</f>
        <v>1036000</v>
      </c>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ht="16" x14ac:dyDescent="0.2">
      <c r="A141" s="100"/>
      <c r="B141" s="37"/>
      <c r="C141" s="38"/>
      <c r="D141" s="44"/>
      <c r="E141" s="40"/>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ht="17" x14ac:dyDescent="0.2">
      <c r="A142" s="28" t="s">
        <v>250</v>
      </c>
      <c r="B142" s="69" t="s">
        <v>120</v>
      </c>
      <c r="C142" s="69"/>
      <c r="D142" s="49"/>
      <c r="E142" s="50"/>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ht="93" customHeight="1" x14ac:dyDescent="0.2">
      <c r="A143" s="100"/>
      <c r="B143" s="213" t="s">
        <v>416</v>
      </c>
      <c r="C143" s="213"/>
      <c r="D143" s="213"/>
      <c r="E143" s="214"/>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s="8" customFormat="1" ht="17" x14ac:dyDescent="0.2">
      <c r="A144" s="66"/>
      <c r="B144" s="108" t="s">
        <v>344</v>
      </c>
      <c r="C144" s="48" t="s">
        <v>345</v>
      </c>
      <c r="D144" s="73">
        <v>4800000</v>
      </c>
      <c r="E144" s="80"/>
    </row>
    <row r="145" spans="1:77" s="8" customFormat="1" x14ac:dyDescent="0.2">
      <c r="A145" s="66"/>
      <c r="B145" s="108" t="s">
        <v>148</v>
      </c>
      <c r="C145" s="48" t="s">
        <v>346</v>
      </c>
      <c r="D145" s="73">
        <f>400*3*120+200*4*120</f>
        <v>240000</v>
      </c>
      <c r="E145" s="103"/>
      <c r="F145" s="84"/>
    </row>
    <row r="146" spans="1:77" ht="17" x14ac:dyDescent="0.2">
      <c r="A146" s="28"/>
      <c r="B146" s="43" t="s">
        <v>0</v>
      </c>
      <c r="C146" s="29"/>
      <c r="D146" s="157"/>
      <c r="E146" s="36">
        <f>SUM(D144:D145)</f>
        <v>5040000</v>
      </c>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7" ht="16" x14ac:dyDescent="0.2">
      <c r="A147" s="100"/>
      <c r="B147" s="37"/>
      <c r="C147" s="38"/>
      <c r="D147" s="44"/>
      <c r="E147" s="40"/>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ht="17" x14ac:dyDescent="0.2">
      <c r="A148" s="28" t="s">
        <v>252</v>
      </c>
      <c r="B148" s="69" t="s">
        <v>153</v>
      </c>
      <c r="C148" s="30"/>
      <c r="D148" s="49"/>
      <c r="E148" s="49"/>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7" ht="45.5" customHeight="1" x14ac:dyDescent="0.2">
      <c r="A149" s="100"/>
      <c r="B149" s="226" t="s">
        <v>349</v>
      </c>
      <c r="C149" s="226"/>
      <c r="D149" s="226"/>
      <c r="E149" s="226"/>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s="8" customFormat="1" ht="17" x14ac:dyDescent="0.2">
      <c r="A150" s="66"/>
      <c r="B150" s="48" t="s">
        <v>211</v>
      </c>
      <c r="C150" s="48" t="s">
        <v>347</v>
      </c>
      <c r="D150" s="72">
        <v>270000</v>
      </c>
      <c r="E150" s="73"/>
    </row>
    <row r="151" spans="1:77" s="8" customFormat="1" x14ac:dyDescent="0.2">
      <c r="A151" s="66"/>
      <c r="B151" s="48" t="s">
        <v>212</v>
      </c>
      <c r="C151" s="48" t="s">
        <v>404</v>
      </c>
      <c r="D151" s="72">
        <f>60000*5</f>
        <v>300000</v>
      </c>
      <c r="E151" s="86"/>
      <c r="F151" s="84"/>
    </row>
    <row r="152" spans="1:77" s="8" customFormat="1" x14ac:dyDescent="0.2">
      <c r="A152" s="66"/>
      <c r="B152" s="48" t="s">
        <v>168</v>
      </c>
      <c r="C152" s="48" t="s">
        <v>405</v>
      </c>
      <c r="D152" s="72">
        <f>220*5*3*120</f>
        <v>396000</v>
      </c>
      <c r="E152" s="86"/>
      <c r="F152" s="84"/>
    </row>
    <row r="153" spans="1:77" s="8" customFormat="1" x14ac:dyDescent="0.2">
      <c r="A153" s="66"/>
      <c r="B153" s="48" t="s">
        <v>115</v>
      </c>
      <c r="C153" s="48" t="s">
        <v>348</v>
      </c>
      <c r="D153" s="72">
        <v>60000</v>
      </c>
      <c r="E153" s="86"/>
      <c r="F153" s="84"/>
    </row>
    <row r="154" spans="1:77" s="8" customFormat="1" x14ac:dyDescent="0.2">
      <c r="A154" s="66"/>
      <c r="B154" s="48" t="s">
        <v>9</v>
      </c>
      <c r="C154" s="48" t="s">
        <v>213</v>
      </c>
      <c r="D154" s="72">
        <v>15000</v>
      </c>
      <c r="E154" s="86"/>
      <c r="F154" s="84"/>
    </row>
    <row r="155" spans="1:77" ht="17" x14ac:dyDescent="0.2">
      <c r="A155" s="28"/>
      <c r="B155" s="45" t="s">
        <v>0</v>
      </c>
      <c r="C155" s="30"/>
      <c r="D155" s="49"/>
      <c r="E155" s="46">
        <f>SUM(D150:D154)</f>
        <v>1041000</v>
      </c>
      <c r="F155" s="3"/>
    </row>
    <row r="156" spans="1:77" ht="16" x14ac:dyDescent="0.2">
      <c r="A156" s="100"/>
      <c r="B156" s="37"/>
      <c r="C156" s="38"/>
      <c r="D156" s="44"/>
      <c r="E156" s="40"/>
      <c r="F156" s="3"/>
    </row>
    <row r="157" spans="1:77" ht="16" x14ac:dyDescent="0.2">
      <c r="A157" s="28" t="s">
        <v>253</v>
      </c>
      <c r="B157" s="28" t="s">
        <v>154</v>
      </c>
      <c r="C157" s="69"/>
      <c r="D157" s="49"/>
      <c r="E157" s="50"/>
      <c r="F157" s="3"/>
    </row>
    <row r="158" spans="1:77" ht="83" customHeight="1" x14ac:dyDescent="0.2">
      <c r="A158" s="100"/>
      <c r="B158" s="199" t="s">
        <v>350</v>
      </c>
      <c r="C158" s="224"/>
      <c r="D158" s="224"/>
      <c r="E158" s="224"/>
      <c r="F158" s="3"/>
    </row>
    <row r="159" spans="1:77" s="8" customFormat="1" x14ac:dyDescent="0.2">
      <c r="A159" s="66"/>
      <c r="B159" s="179" t="s">
        <v>215</v>
      </c>
      <c r="C159" s="48" t="s">
        <v>214</v>
      </c>
      <c r="D159" s="73">
        <f>SUM(40000*5)</f>
        <v>200000</v>
      </c>
      <c r="E159" s="103"/>
      <c r="F159" s="84"/>
    </row>
    <row r="160" spans="1:77" s="8" customFormat="1" x14ac:dyDescent="0.2">
      <c r="A160" s="66"/>
      <c r="B160" s="179" t="s">
        <v>168</v>
      </c>
      <c r="C160" s="48" t="s">
        <v>351</v>
      </c>
      <c r="D160" s="73">
        <f>SUM(150*5*3*120)</f>
        <v>270000</v>
      </c>
      <c r="E160" s="103"/>
      <c r="F160" s="84"/>
    </row>
    <row r="161" spans="1:77" s="8" customFormat="1" ht="17" x14ac:dyDescent="0.2">
      <c r="A161" s="66"/>
      <c r="B161" s="179" t="s">
        <v>144</v>
      </c>
      <c r="C161" s="48" t="s">
        <v>502</v>
      </c>
      <c r="D161" s="73">
        <f>SUM(300*2*120)</f>
        <v>72000</v>
      </c>
      <c r="E161" s="80"/>
    </row>
    <row r="162" spans="1:77" s="8" customFormat="1" ht="17" x14ac:dyDescent="0.2">
      <c r="A162" s="66"/>
      <c r="B162" s="179" t="s">
        <v>115</v>
      </c>
      <c r="C162" s="194" t="s">
        <v>340</v>
      </c>
      <c r="D162" s="73">
        <v>47000</v>
      </c>
      <c r="E162" s="80"/>
    </row>
    <row r="163" spans="1:77" s="8" customFormat="1" x14ac:dyDescent="0.2">
      <c r="A163" s="66"/>
      <c r="B163" s="48" t="s">
        <v>9</v>
      </c>
      <c r="C163" s="48" t="s">
        <v>143</v>
      </c>
      <c r="D163" s="72">
        <v>6000</v>
      </c>
      <c r="E163" s="103"/>
      <c r="F163" s="84"/>
    </row>
    <row r="164" spans="1:77" s="2" customFormat="1" ht="17" x14ac:dyDescent="0.2">
      <c r="A164" s="28"/>
      <c r="B164" s="45" t="s">
        <v>0</v>
      </c>
      <c r="C164" s="69"/>
      <c r="D164" s="50"/>
      <c r="E164" s="50">
        <f>SUM(D159:D163)</f>
        <v>595000</v>
      </c>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row>
    <row r="165" spans="1:77" s="2" customFormat="1" ht="16" x14ac:dyDescent="0.2">
      <c r="A165" s="100"/>
      <c r="B165" s="37"/>
      <c r="C165" s="38"/>
      <c r="D165" s="44"/>
      <c r="E165" s="40"/>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row>
    <row r="166" spans="1:77" ht="16" x14ac:dyDescent="0.2">
      <c r="A166" s="28" t="s">
        <v>424</v>
      </c>
      <c r="B166" s="209" t="s">
        <v>219</v>
      </c>
      <c r="C166" s="209"/>
      <c r="D166" s="157"/>
      <c r="E166" s="157"/>
      <c r="F166" s="3"/>
    </row>
    <row r="167" spans="1:77" ht="36" customHeight="1" x14ac:dyDescent="0.2">
      <c r="A167" s="100"/>
      <c r="B167" s="210" t="s">
        <v>10</v>
      </c>
      <c r="C167" s="210"/>
      <c r="D167" s="210"/>
      <c r="E167" s="211"/>
      <c r="F167" s="3"/>
    </row>
    <row r="168" spans="1:77" s="8" customFormat="1" ht="17.5" customHeight="1" x14ac:dyDescent="0.2">
      <c r="A168" s="66"/>
      <c r="B168" s="179" t="s">
        <v>16</v>
      </c>
      <c r="C168" s="48" t="s">
        <v>406</v>
      </c>
      <c r="D168" s="73">
        <f>3000*120</f>
        <v>360000</v>
      </c>
      <c r="E168" s="80"/>
    </row>
    <row r="169" spans="1:77" s="8" customFormat="1" ht="18.5" customHeight="1" x14ac:dyDescent="0.2">
      <c r="A169" s="66"/>
      <c r="B169" s="179" t="s">
        <v>352</v>
      </c>
      <c r="C169" s="48" t="s">
        <v>285</v>
      </c>
      <c r="D169" s="73">
        <f>1500*120</f>
        <v>180000</v>
      </c>
      <c r="E169" s="80"/>
    </row>
    <row r="170" spans="1:77" s="8" customFormat="1" x14ac:dyDescent="0.2">
      <c r="A170" s="66"/>
      <c r="B170" s="48" t="s">
        <v>194</v>
      </c>
      <c r="C170" s="48" t="s">
        <v>218</v>
      </c>
      <c r="D170" s="72">
        <v>4000</v>
      </c>
      <c r="E170" s="86"/>
      <c r="F170" s="84"/>
    </row>
    <row r="171" spans="1:77" ht="17" x14ac:dyDescent="0.2">
      <c r="A171" s="28"/>
      <c r="B171" s="43" t="s">
        <v>0</v>
      </c>
      <c r="C171" s="29"/>
      <c r="D171" s="157"/>
      <c r="E171" s="36">
        <f>SUM(D168:D170)</f>
        <v>544000</v>
      </c>
      <c r="F171" s="3"/>
    </row>
    <row r="172" spans="1:77" s="17" customFormat="1" ht="16" x14ac:dyDescent="0.2">
      <c r="A172" s="100"/>
      <c r="B172" s="37"/>
      <c r="C172" s="38"/>
      <c r="D172" s="44"/>
      <c r="E172" s="40"/>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row>
    <row r="173" spans="1:77" s="17" customFormat="1" ht="16.25" customHeight="1" x14ac:dyDescent="0.2">
      <c r="A173" s="28" t="s">
        <v>254</v>
      </c>
      <c r="B173" s="228" t="s">
        <v>420</v>
      </c>
      <c r="C173" s="228"/>
      <c r="D173" s="157"/>
      <c r="E173" s="148"/>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row>
    <row r="174" spans="1:77" s="17" customFormat="1" ht="50.5" customHeight="1" x14ac:dyDescent="0.2">
      <c r="A174" s="37"/>
      <c r="B174" s="213" t="s">
        <v>421</v>
      </c>
      <c r="C174" s="213"/>
      <c r="D174" s="213"/>
      <c r="E174" s="21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row>
    <row r="175" spans="1:77" s="8" customFormat="1" ht="17.5" customHeight="1" x14ac:dyDescent="0.2">
      <c r="A175" s="66"/>
      <c r="B175" s="48" t="s">
        <v>413</v>
      </c>
      <c r="C175" s="48" t="s">
        <v>505</v>
      </c>
      <c r="D175" s="73">
        <f>200*10*3*120</f>
        <v>720000</v>
      </c>
      <c r="E175" s="86"/>
    </row>
    <row r="176" spans="1:77" s="8" customFormat="1" ht="16.25" customHeight="1" x14ac:dyDescent="0.2">
      <c r="A176" s="66"/>
      <c r="B176" s="48" t="s">
        <v>414</v>
      </c>
      <c r="C176" s="48" t="s">
        <v>415</v>
      </c>
      <c r="D176" s="73">
        <f>450*10*120</f>
        <v>540000</v>
      </c>
      <c r="E176" s="86"/>
    </row>
    <row r="177" spans="1:77" s="17" customFormat="1" ht="16.25" customHeight="1" x14ac:dyDescent="0.2">
      <c r="A177" s="28"/>
      <c r="B177" s="35" t="s">
        <v>0</v>
      </c>
      <c r="C177" s="91"/>
      <c r="D177" s="146"/>
      <c r="E177" s="36">
        <f>D176+D175</f>
        <v>1260000</v>
      </c>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row>
    <row r="178" spans="1:77" s="17" customFormat="1" ht="16.25" customHeight="1" x14ac:dyDescent="0.2">
      <c r="A178" s="37"/>
      <c r="B178" s="37"/>
      <c r="C178" s="38"/>
      <c r="D178" s="39"/>
      <c r="E178" s="40"/>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row>
    <row r="179" spans="1:77" s="17" customFormat="1" ht="17" x14ac:dyDescent="0.2">
      <c r="A179" s="28" t="s">
        <v>353</v>
      </c>
      <c r="B179" s="54" t="s">
        <v>495</v>
      </c>
      <c r="C179" s="55"/>
      <c r="D179" s="31"/>
      <c r="E179" s="36"/>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row>
    <row r="180" spans="1:77" s="17" customFormat="1" ht="48.5" customHeight="1" x14ac:dyDescent="0.2">
      <c r="A180" s="100"/>
      <c r="B180" s="213" t="s">
        <v>417</v>
      </c>
      <c r="C180" s="213"/>
      <c r="D180" s="213"/>
      <c r="E180" s="21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row>
    <row r="181" spans="1:77" s="8" customFormat="1" ht="17" x14ac:dyDescent="0.2">
      <c r="A181" s="66"/>
      <c r="B181" s="179" t="s">
        <v>14</v>
      </c>
      <c r="C181" s="109" t="s">
        <v>356</v>
      </c>
      <c r="D181" s="72">
        <v>60000</v>
      </c>
      <c r="E181" s="82"/>
    </row>
    <row r="182" spans="1:77" s="17" customFormat="1" ht="17" x14ac:dyDescent="0.2">
      <c r="A182" s="28"/>
      <c r="B182" s="52" t="s">
        <v>0</v>
      </c>
      <c r="C182" s="45"/>
      <c r="D182" s="49"/>
      <c r="E182" s="50">
        <f>D181</f>
        <v>60000</v>
      </c>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row>
    <row r="183" spans="1:77" s="17" customFormat="1" ht="16" x14ac:dyDescent="0.2">
      <c r="A183" s="100"/>
      <c r="B183" s="37"/>
      <c r="C183" s="38"/>
      <c r="D183" s="44"/>
      <c r="E183" s="40"/>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row>
    <row r="184" spans="1:77" ht="17" x14ac:dyDescent="0.2">
      <c r="A184" s="28" t="s">
        <v>255</v>
      </c>
      <c r="B184" s="54" t="s">
        <v>156</v>
      </c>
      <c r="C184" s="55"/>
      <c r="D184" s="31"/>
      <c r="E184" s="36"/>
      <c r="F184" s="3"/>
    </row>
    <row r="185" spans="1:77" ht="38" customHeight="1" x14ac:dyDescent="0.2">
      <c r="A185" s="100"/>
      <c r="B185" s="213" t="s">
        <v>15</v>
      </c>
      <c r="C185" s="213"/>
      <c r="D185" s="213"/>
      <c r="E185" s="227"/>
      <c r="F185" s="3"/>
    </row>
    <row r="186" spans="1:77" s="8" customFormat="1" ht="17" x14ac:dyDescent="0.2">
      <c r="A186" s="66"/>
      <c r="B186" s="179" t="s">
        <v>14</v>
      </c>
      <c r="C186" s="109" t="s">
        <v>282</v>
      </c>
      <c r="D186" s="72">
        <f>5000*120</f>
        <v>600000</v>
      </c>
      <c r="E186" s="82"/>
    </row>
    <row r="187" spans="1:77" ht="17" x14ac:dyDescent="0.2">
      <c r="A187" s="28"/>
      <c r="B187" s="52" t="s">
        <v>0</v>
      </c>
      <c r="C187" s="45"/>
      <c r="D187" s="49"/>
      <c r="E187" s="50">
        <f>D186</f>
        <v>600000</v>
      </c>
      <c r="F187" s="3"/>
    </row>
    <row r="188" spans="1:77" s="17" customFormat="1" ht="16" x14ac:dyDescent="0.2">
      <c r="A188" s="100"/>
      <c r="B188" s="37"/>
      <c r="C188" s="38"/>
      <c r="D188" s="44"/>
      <c r="E188" s="40"/>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row>
    <row r="189" spans="1:77" s="17" customFormat="1" ht="17" x14ac:dyDescent="0.2">
      <c r="A189" s="28" t="s">
        <v>256</v>
      </c>
      <c r="B189" s="54" t="s">
        <v>354</v>
      </c>
      <c r="C189" s="55"/>
      <c r="D189" s="31"/>
      <c r="E189" s="36"/>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row>
    <row r="190" spans="1:77" s="17" customFormat="1" ht="45" customHeight="1" x14ac:dyDescent="0.2">
      <c r="A190" s="100"/>
      <c r="B190" s="213" t="s">
        <v>355</v>
      </c>
      <c r="C190" s="213"/>
      <c r="D190" s="213"/>
      <c r="E190" s="227"/>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row>
    <row r="191" spans="1:77" s="8" customFormat="1" ht="17" x14ac:dyDescent="0.2">
      <c r="A191" s="66"/>
      <c r="B191" s="179" t="s">
        <v>357</v>
      </c>
      <c r="C191" s="109" t="s">
        <v>282</v>
      </c>
      <c r="D191" s="72">
        <f>5000*120</f>
        <v>600000</v>
      </c>
      <c r="E191" s="82"/>
    </row>
    <row r="192" spans="1:77" s="17" customFormat="1" ht="17" x14ac:dyDescent="0.2">
      <c r="A192" s="28"/>
      <c r="B192" s="52" t="s">
        <v>0</v>
      </c>
      <c r="C192" s="45"/>
      <c r="D192" s="49"/>
      <c r="E192" s="50">
        <f>D191</f>
        <v>600000</v>
      </c>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row>
    <row r="193" spans="1:77" s="17" customFormat="1" ht="16" x14ac:dyDescent="0.2">
      <c r="A193" s="191"/>
      <c r="B193" s="37"/>
      <c r="C193" s="38"/>
      <c r="D193" s="44"/>
      <c r="E193" s="40"/>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row>
    <row r="194" spans="1:77" s="17" customFormat="1" ht="16" x14ac:dyDescent="0.2">
      <c r="A194" s="2" t="s">
        <v>257</v>
      </c>
      <c r="B194" s="184" t="s">
        <v>491</v>
      </c>
      <c r="C194" s="182"/>
      <c r="D194" s="18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row>
    <row r="195" spans="1:77" s="17" customFormat="1" ht="62" customHeight="1" x14ac:dyDescent="0.2">
      <c r="A195" s="231" t="s">
        <v>492</v>
      </c>
      <c r="B195" s="231"/>
      <c r="C195" s="231"/>
      <c r="D195" s="232"/>
      <c r="E195" s="159"/>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row>
    <row r="196" spans="1:77" s="17" customFormat="1" ht="17" x14ac:dyDescent="0.2">
      <c r="A196" s="74"/>
      <c r="B196" s="108" t="s">
        <v>493</v>
      </c>
      <c r="C196" s="48" t="s">
        <v>494</v>
      </c>
      <c r="D196" s="73">
        <v>6000000</v>
      </c>
      <c r="E196" s="80"/>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row>
    <row r="197" spans="1:77" s="17" customFormat="1" ht="17" x14ac:dyDescent="0.2">
      <c r="A197" s="74"/>
      <c r="B197" s="79" t="s">
        <v>0</v>
      </c>
      <c r="C197" s="177"/>
      <c r="D197" s="73"/>
      <c r="E197" s="80">
        <f>+D196</f>
        <v>6000000</v>
      </c>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row>
    <row r="198" spans="1:77" s="17" customFormat="1" ht="16" x14ac:dyDescent="0.2">
      <c r="A198" s="37"/>
      <c r="B198" s="230"/>
      <c r="C198" s="230"/>
      <c r="D198" s="230"/>
      <c r="E198" s="230"/>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row>
    <row r="199" spans="1:77" s="17" customFormat="1" ht="17" x14ac:dyDescent="0.2">
      <c r="A199" s="28" t="s">
        <v>280</v>
      </c>
      <c r="B199" s="98" t="s">
        <v>411</v>
      </c>
      <c r="C199" s="29"/>
      <c r="D199" s="157"/>
      <c r="E199" s="157"/>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row>
    <row r="200" spans="1:77" s="17" customFormat="1" ht="20" customHeight="1" x14ac:dyDescent="0.2">
      <c r="A200" s="37"/>
      <c r="B200" s="199" t="s">
        <v>418</v>
      </c>
      <c r="C200" s="229"/>
      <c r="D200" s="229"/>
      <c r="E200" s="229"/>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row>
    <row r="201" spans="1:77" s="8" customFormat="1" ht="17" x14ac:dyDescent="0.2">
      <c r="A201" s="66"/>
      <c r="B201" s="110" t="s">
        <v>412</v>
      </c>
      <c r="C201" s="74" t="s">
        <v>527</v>
      </c>
      <c r="D201" s="73">
        <v>500000</v>
      </c>
      <c r="E201" s="73"/>
    </row>
    <row r="202" spans="1:77" s="17" customFormat="1" ht="17" x14ac:dyDescent="0.2">
      <c r="A202" s="28"/>
      <c r="B202" s="51" t="s">
        <v>0</v>
      </c>
      <c r="C202" s="29"/>
      <c r="D202" s="157"/>
      <c r="E202" s="160">
        <f>SUM(D201:D201)</f>
        <v>500000</v>
      </c>
      <c r="F202" s="196"/>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row>
    <row r="203" spans="1:77" s="17" customFormat="1" ht="16" x14ac:dyDescent="0.2">
      <c r="A203" s="100"/>
      <c r="B203" s="181"/>
      <c r="C203" s="181"/>
      <c r="D203" s="53"/>
      <c r="E203" s="5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row>
    <row r="204" spans="1:77" ht="17" x14ac:dyDescent="0.2">
      <c r="A204" s="28" t="s">
        <v>372</v>
      </c>
      <c r="B204" s="178" t="s">
        <v>142</v>
      </c>
      <c r="C204" s="29"/>
      <c r="D204" s="157"/>
      <c r="E204" s="157"/>
      <c r="F204" s="3"/>
    </row>
    <row r="205" spans="1:77" ht="19" customHeight="1" x14ac:dyDescent="0.2">
      <c r="A205" s="37"/>
      <c r="B205" s="199" t="s">
        <v>220</v>
      </c>
      <c r="C205" s="229"/>
      <c r="D205" s="229"/>
      <c r="E205" s="229"/>
      <c r="F205" s="3"/>
    </row>
    <row r="206" spans="1:77" s="8" customFormat="1" ht="17" x14ac:dyDescent="0.2">
      <c r="A206" s="66"/>
      <c r="B206" s="110" t="s">
        <v>221</v>
      </c>
      <c r="C206" s="74" t="s">
        <v>514</v>
      </c>
      <c r="D206" s="73">
        <v>500000</v>
      </c>
      <c r="E206" s="73"/>
    </row>
    <row r="207" spans="1:77" s="8" customFormat="1" ht="17" x14ac:dyDescent="0.2">
      <c r="A207" s="66"/>
      <c r="B207" s="110" t="s">
        <v>189</v>
      </c>
      <c r="C207" s="109" t="s">
        <v>513</v>
      </c>
      <c r="D207" s="73">
        <v>800000</v>
      </c>
      <c r="E207" s="73"/>
    </row>
    <row r="208" spans="1:77" ht="17" x14ac:dyDescent="0.2">
      <c r="A208" s="28"/>
      <c r="B208" s="51" t="s">
        <v>0</v>
      </c>
      <c r="C208" s="29"/>
      <c r="D208" s="157"/>
      <c r="E208" s="160">
        <f>SUM(D206:D207)</f>
        <v>1300000</v>
      </c>
      <c r="F208" s="3"/>
    </row>
    <row r="209" spans="1:77" ht="16" x14ac:dyDescent="0.2">
      <c r="A209" s="100"/>
      <c r="B209" s="100"/>
      <c r="C209" s="100"/>
      <c r="D209" s="53"/>
      <c r="E209" s="53"/>
      <c r="F209" s="3"/>
    </row>
    <row r="210" spans="1:77" ht="17" x14ac:dyDescent="0.2">
      <c r="A210" s="28"/>
      <c r="B210" s="29"/>
      <c r="C210" s="41" t="s">
        <v>28</v>
      </c>
      <c r="D210" s="161"/>
      <c r="E210" s="156">
        <f>(E43+E53+E62+E84+E101+E121+E131+E140+E146+E155+E164+E171+E177+E182+E187+E192+E197+E202+E208)</f>
        <v>55386000</v>
      </c>
      <c r="F210" s="3"/>
    </row>
    <row r="211" spans="1:77" s="13" customFormat="1" ht="17" x14ac:dyDescent="0.2">
      <c r="A211" s="28">
        <v>3</v>
      </c>
      <c r="B211" s="42" t="s">
        <v>216</v>
      </c>
      <c r="C211" s="29"/>
      <c r="D211" s="157"/>
      <c r="E211" s="157"/>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row>
    <row r="212" spans="1:77" s="13" customFormat="1" ht="16" x14ac:dyDescent="0.2">
      <c r="A212" s="28"/>
      <c r="B212" s="56"/>
      <c r="C212" s="30"/>
      <c r="D212" s="49"/>
      <c r="E212" s="49"/>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row>
    <row r="213" spans="1:77" s="13" customFormat="1" ht="17" x14ac:dyDescent="0.2">
      <c r="A213" s="28" t="s">
        <v>258</v>
      </c>
      <c r="B213" s="69" t="s">
        <v>155</v>
      </c>
      <c r="C213" s="30"/>
      <c r="D213" s="49"/>
      <c r="E213" s="49"/>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row>
    <row r="214" spans="1:77" s="13" customFormat="1" ht="47" customHeight="1" x14ac:dyDescent="0.2">
      <c r="A214" s="37"/>
      <c r="B214" s="222" t="s">
        <v>134</v>
      </c>
      <c r="C214" s="222"/>
      <c r="D214" s="222"/>
      <c r="E214" s="222"/>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row>
    <row r="215" spans="1:77" s="8" customFormat="1" ht="18" customHeight="1" x14ac:dyDescent="0.2">
      <c r="A215" s="66"/>
      <c r="B215" s="48" t="s">
        <v>152</v>
      </c>
      <c r="C215" s="74"/>
      <c r="D215" s="72">
        <v>1000000</v>
      </c>
      <c r="E215" s="73"/>
    </row>
    <row r="216" spans="1:77" s="13" customFormat="1" ht="17" x14ac:dyDescent="0.2">
      <c r="A216" s="28"/>
      <c r="B216" s="51" t="s">
        <v>0</v>
      </c>
      <c r="C216" s="29"/>
      <c r="D216" s="49"/>
      <c r="E216" s="160">
        <f>D215</f>
        <v>1000000</v>
      </c>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row>
    <row r="217" spans="1:77" s="13" customFormat="1" ht="16" x14ac:dyDescent="0.2">
      <c r="A217" s="37"/>
      <c r="B217" s="37"/>
      <c r="C217" s="38"/>
      <c r="D217" s="44"/>
      <c r="E217" s="40"/>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row>
    <row r="218" spans="1:77" s="13" customFormat="1" ht="18" customHeight="1" x14ac:dyDescent="0.2">
      <c r="A218" s="28" t="s">
        <v>259</v>
      </c>
      <c r="B218" s="69" t="s">
        <v>158</v>
      </c>
      <c r="C218" s="34"/>
      <c r="D218" s="149"/>
      <c r="E218" s="162"/>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row>
    <row r="219" spans="1:77" s="13" customFormat="1" ht="49" customHeight="1" x14ac:dyDescent="0.2">
      <c r="A219" s="37"/>
      <c r="B219" s="208" t="s">
        <v>278</v>
      </c>
      <c r="C219" s="208"/>
      <c r="D219" s="208"/>
      <c r="E219" s="208"/>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row>
    <row r="220" spans="1:77" s="8" customFormat="1" ht="17" x14ac:dyDescent="0.2">
      <c r="A220" s="66"/>
      <c r="B220" s="48" t="s">
        <v>122</v>
      </c>
      <c r="C220" s="74" t="s">
        <v>358</v>
      </c>
      <c r="D220" s="95">
        <f>32000*3</f>
        <v>96000</v>
      </c>
      <c r="E220" s="158"/>
    </row>
    <row r="221" spans="1:77" s="8" customFormat="1" ht="17" x14ac:dyDescent="0.2">
      <c r="A221" s="66"/>
      <c r="B221" s="48" t="s">
        <v>123</v>
      </c>
      <c r="C221" s="74" t="s">
        <v>227</v>
      </c>
      <c r="D221" s="95">
        <v>30000</v>
      </c>
      <c r="E221" s="158"/>
    </row>
    <row r="222" spans="1:77" s="8" customFormat="1" ht="17" x14ac:dyDescent="0.2">
      <c r="A222" s="66"/>
      <c r="B222" s="48" t="s">
        <v>124</v>
      </c>
      <c r="C222" s="74" t="s">
        <v>359</v>
      </c>
      <c r="D222" s="95">
        <v>30000</v>
      </c>
      <c r="E222" s="158"/>
    </row>
    <row r="223" spans="1:77" s="8" customFormat="1" ht="17" x14ac:dyDescent="0.2">
      <c r="A223" s="66"/>
      <c r="B223" s="48" t="s">
        <v>125</v>
      </c>
      <c r="C223" s="74" t="s">
        <v>315</v>
      </c>
      <c r="D223" s="95">
        <v>40000</v>
      </c>
      <c r="E223" s="158"/>
    </row>
    <row r="224" spans="1:77" s="8" customFormat="1" ht="17" x14ac:dyDescent="0.2">
      <c r="A224" s="66"/>
      <c r="B224" s="48" t="s">
        <v>126</v>
      </c>
      <c r="C224" s="74" t="s">
        <v>228</v>
      </c>
      <c r="D224" s="95">
        <v>18000</v>
      </c>
      <c r="E224" s="158"/>
    </row>
    <row r="225" spans="1:77" s="8" customFormat="1" ht="17" x14ac:dyDescent="0.2">
      <c r="A225" s="66"/>
      <c r="B225" s="48" t="s">
        <v>127</v>
      </c>
      <c r="C225" s="74" t="s">
        <v>160</v>
      </c>
      <c r="D225" s="95">
        <f>6400*10*8</f>
        <v>512000</v>
      </c>
      <c r="E225" s="158"/>
    </row>
    <row r="226" spans="1:77" s="8" customFormat="1" ht="17" x14ac:dyDescent="0.2">
      <c r="A226" s="66"/>
      <c r="B226" s="48" t="s">
        <v>9</v>
      </c>
      <c r="C226" s="74" t="s">
        <v>175</v>
      </c>
      <c r="D226" s="95">
        <f>2100*8*10</f>
        <v>168000</v>
      </c>
      <c r="E226" s="158"/>
    </row>
    <row r="227" spans="1:77" s="8" customFormat="1" ht="17" x14ac:dyDescent="0.2">
      <c r="A227" s="66"/>
      <c r="B227" s="48" t="s">
        <v>128</v>
      </c>
      <c r="C227" s="74" t="s">
        <v>229</v>
      </c>
      <c r="D227" s="95">
        <v>6000</v>
      </c>
      <c r="E227" s="158"/>
    </row>
    <row r="228" spans="1:77" s="8" customFormat="1" ht="17" x14ac:dyDescent="0.2">
      <c r="A228" s="66"/>
      <c r="B228" s="48" t="s">
        <v>129</v>
      </c>
      <c r="C228" s="74" t="s">
        <v>230</v>
      </c>
      <c r="D228" s="95">
        <v>6000</v>
      </c>
      <c r="E228" s="158"/>
    </row>
    <row r="229" spans="1:77" s="13" customFormat="1" ht="17" x14ac:dyDescent="0.2">
      <c r="A229" s="28"/>
      <c r="B229" s="51" t="s">
        <v>0</v>
      </c>
      <c r="C229" s="91"/>
      <c r="D229" s="148"/>
      <c r="E229" s="160">
        <f>SUM(D220:D228)</f>
        <v>906000</v>
      </c>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row>
    <row r="230" spans="1:77" s="13" customFormat="1" ht="16" x14ac:dyDescent="0.2">
      <c r="A230" s="37"/>
      <c r="B230" s="212"/>
      <c r="C230" s="212"/>
      <c r="D230" s="212"/>
      <c r="E230" s="212"/>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row>
    <row r="231" spans="1:77" s="13" customFormat="1" ht="17" x14ac:dyDescent="0.2">
      <c r="A231" s="28" t="s">
        <v>260</v>
      </c>
      <c r="B231" s="69" t="s">
        <v>161</v>
      </c>
      <c r="C231" s="34"/>
      <c r="D231" s="149"/>
      <c r="E231" s="162"/>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row>
    <row r="232" spans="1:77" s="13" customFormat="1" ht="64" customHeight="1" x14ac:dyDescent="0.2">
      <c r="A232" s="37"/>
      <c r="B232" s="208" t="s">
        <v>425</v>
      </c>
      <c r="C232" s="208"/>
      <c r="D232" s="208"/>
      <c r="E232" s="208"/>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row>
    <row r="233" spans="1:77" s="8" customFormat="1" ht="17" x14ac:dyDescent="0.2">
      <c r="A233" s="66"/>
      <c r="B233" s="48" t="s">
        <v>122</v>
      </c>
      <c r="C233" s="74" t="s">
        <v>358</v>
      </c>
      <c r="D233" s="95">
        <f>32000*3</f>
        <v>96000</v>
      </c>
      <c r="E233" s="158"/>
    </row>
    <row r="234" spans="1:77" s="8" customFormat="1" ht="17" x14ac:dyDescent="0.2">
      <c r="A234" s="66"/>
      <c r="B234" s="48" t="s">
        <v>123</v>
      </c>
      <c r="C234" s="74" t="s">
        <v>227</v>
      </c>
      <c r="D234" s="95">
        <v>30000</v>
      </c>
      <c r="E234" s="158"/>
    </row>
    <row r="235" spans="1:77" s="8" customFormat="1" ht="17" x14ac:dyDescent="0.2">
      <c r="A235" s="66"/>
      <c r="B235" s="48" t="s">
        <v>124</v>
      </c>
      <c r="C235" s="74"/>
      <c r="D235" s="95">
        <v>30000</v>
      </c>
      <c r="E235" s="158"/>
    </row>
    <row r="236" spans="1:77" s="8" customFormat="1" ht="17" x14ac:dyDescent="0.2">
      <c r="A236" s="66"/>
      <c r="B236" s="48" t="s">
        <v>125</v>
      </c>
      <c r="C236" s="74"/>
      <c r="D236" s="95">
        <v>40000</v>
      </c>
      <c r="E236" s="158"/>
    </row>
    <row r="237" spans="1:77" s="8" customFormat="1" ht="17" x14ac:dyDescent="0.2">
      <c r="A237" s="66"/>
      <c r="B237" s="48" t="s">
        <v>126</v>
      </c>
      <c r="C237" s="74" t="s">
        <v>228</v>
      </c>
      <c r="D237" s="95">
        <v>18000</v>
      </c>
      <c r="E237" s="158"/>
    </row>
    <row r="238" spans="1:77" s="8" customFormat="1" ht="17" x14ac:dyDescent="0.2">
      <c r="A238" s="66"/>
      <c r="B238" s="48" t="s">
        <v>128</v>
      </c>
      <c r="C238" s="74" t="s">
        <v>229</v>
      </c>
      <c r="D238" s="95">
        <v>6000</v>
      </c>
      <c r="E238" s="158"/>
    </row>
    <row r="239" spans="1:77" s="8" customFormat="1" ht="17" x14ac:dyDescent="0.2">
      <c r="A239" s="66"/>
      <c r="B239" s="48" t="s">
        <v>129</v>
      </c>
      <c r="C239" s="74" t="s">
        <v>230</v>
      </c>
      <c r="D239" s="95">
        <v>6000</v>
      </c>
      <c r="E239" s="158"/>
    </row>
    <row r="240" spans="1:77" s="13" customFormat="1" ht="17" x14ac:dyDescent="0.2">
      <c r="A240" s="28"/>
      <c r="B240" s="51" t="s">
        <v>0</v>
      </c>
      <c r="C240" s="91"/>
      <c r="D240" s="148"/>
      <c r="E240" s="160">
        <f>SUM(D233:D239)</f>
        <v>226000</v>
      </c>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row>
    <row r="241" spans="1:77" s="13" customFormat="1" ht="16" x14ac:dyDescent="0.2">
      <c r="A241" s="37"/>
      <c r="B241" s="212"/>
      <c r="C241" s="212"/>
      <c r="D241" s="212"/>
      <c r="E241" s="212"/>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row>
    <row r="242" spans="1:77" s="13" customFormat="1" ht="17" x14ac:dyDescent="0.2">
      <c r="A242" s="28" t="s">
        <v>261</v>
      </c>
      <c r="B242" s="69" t="s">
        <v>174</v>
      </c>
      <c r="C242" s="34"/>
      <c r="D242" s="149"/>
      <c r="E242" s="162"/>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row>
    <row r="243" spans="1:77" s="13" customFormat="1" ht="46.75" customHeight="1" x14ac:dyDescent="0.2">
      <c r="A243" s="37"/>
      <c r="B243" s="208" t="s">
        <v>428</v>
      </c>
      <c r="C243" s="208"/>
      <c r="D243" s="208"/>
      <c r="E243" s="208"/>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row>
    <row r="244" spans="1:77" s="8" customFormat="1" ht="17" x14ac:dyDescent="0.2">
      <c r="A244" s="66"/>
      <c r="B244" s="48" t="s">
        <v>122</v>
      </c>
      <c r="C244" s="74" t="s">
        <v>500</v>
      </c>
      <c r="D244" s="95">
        <v>96000</v>
      </c>
      <c r="E244" s="158"/>
      <c r="F244" s="172"/>
    </row>
    <row r="245" spans="1:77" s="8" customFormat="1" ht="17" x14ac:dyDescent="0.2">
      <c r="A245" s="66"/>
      <c r="B245" s="48" t="s">
        <v>123</v>
      </c>
      <c r="C245" s="74" t="s">
        <v>159</v>
      </c>
      <c r="D245" s="95">
        <v>50000</v>
      </c>
      <c r="E245" s="158"/>
      <c r="F245" s="187"/>
    </row>
    <row r="246" spans="1:77" s="8" customFormat="1" ht="17" x14ac:dyDescent="0.2">
      <c r="A246" s="66"/>
      <c r="B246" s="48" t="s">
        <v>124</v>
      </c>
      <c r="C246" s="74"/>
      <c r="D246" s="95">
        <v>30000</v>
      </c>
      <c r="E246" s="158"/>
      <c r="F246" s="187"/>
    </row>
    <row r="247" spans="1:77" s="8" customFormat="1" ht="17" x14ac:dyDescent="0.2">
      <c r="A247" s="66"/>
      <c r="B247" s="48" t="s">
        <v>125</v>
      </c>
      <c r="C247" s="74"/>
      <c r="D247" s="95">
        <v>40000</v>
      </c>
      <c r="E247" s="158"/>
      <c r="F247" s="187"/>
    </row>
    <row r="248" spans="1:77" s="8" customFormat="1" ht="17" x14ac:dyDescent="0.2">
      <c r="A248" s="66"/>
      <c r="B248" s="48" t="s">
        <v>126</v>
      </c>
      <c r="C248" s="74" t="s">
        <v>224</v>
      </c>
      <c r="D248" s="95">
        <v>12000</v>
      </c>
      <c r="E248" s="158"/>
      <c r="F248" s="187"/>
    </row>
    <row r="249" spans="1:77" s="8" customFormat="1" ht="17" x14ac:dyDescent="0.2">
      <c r="A249" s="66"/>
      <c r="B249" s="48" t="s">
        <v>176</v>
      </c>
      <c r="C249" s="74" t="s">
        <v>504</v>
      </c>
      <c r="D249" s="95">
        <v>950000</v>
      </c>
      <c r="E249" s="158"/>
      <c r="F249" s="187"/>
    </row>
    <row r="250" spans="1:77" s="8" customFormat="1" ht="17" x14ac:dyDescent="0.2">
      <c r="A250" s="66"/>
      <c r="B250" s="48" t="s">
        <v>127</v>
      </c>
      <c r="C250" s="74" t="s">
        <v>178</v>
      </c>
      <c r="D250" s="95">
        <v>100000</v>
      </c>
      <c r="E250" s="158"/>
      <c r="F250" s="187"/>
    </row>
    <row r="251" spans="1:77" s="8" customFormat="1" ht="17" x14ac:dyDescent="0.2">
      <c r="A251" s="66"/>
      <c r="B251" s="48" t="s">
        <v>9</v>
      </c>
      <c r="C251" s="74" t="s">
        <v>177</v>
      </c>
      <c r="D251" s="95">
        <f>2100*10*10</f>
        <v>210000</v>
      </c>
      <c r="E251" s="158"/>
      <c r="F251" s="187"/>
    </row>
    <row r="252" spans="1:77" s="13" customFormat="1" ht="17" x14ac:dyDescent="0.2">
      <c r="A252" s="28"/>
      <c r="B252" s="51" t="s">
        <v>0</v>
      </c>
      <c r="C252" s="91"/>
      <c r="D252" s="148"/>
      <c r="E252" s="160">
        <f>SUM(D244:D251)</f>
        <v>1488000</v>
      </c>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row>
    <row r="253" spans="1:77" s="13" customFormat="1" ht="16" x14ac:dyDescent="0.2">
      <c r="A253" s="37"/>
      <c r="B253" s="97"/>
      <c r="C253" s="97"/>
      <c r="D253" s="147"/>
      <c r="E253" s="147"/>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row>
    <row r="254" spans="1:77" s="13" customFormat="1" ht="17" x14ac:dyDescent="0.2">
      <c r="A254" s="28" t="s">
        <v>262</v>
      </c>
      <c r="B254" s="57" t="s">
        <v>162</v>
      </c>
      <c r="C254" s="58"/>
      <c r="D254" s="163"/>
      <c r="E254" s="16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row>
    <row r="255" spans="1:77" s="13" customFormat="1" ht="32" customHeight="1" x14ac:dyDescent="0.2">
      <c r="A255" s="68"/>
      <c r="B255" s="199" t="s">
        <v>273</v>
      </c>
      <c r="C255" s="199"/>
      <c r="D255" s="199"/>
      <c r="E255" s="199"/>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row>
    <row r="256" spans="1:77" s="8" customFormat="1" ht="20.5" customHeight="1" x14ac:dyDescent="0.2">
      <c r="A256" s="66"/>
      <c r="B256" s="179" t="s">
        <v>360</v>
      </c>
      <c r="C256" s="179"/>
      <c r="D256" s="72">
        <v>100000</v>
      </c>
      <c r="E256" s="108"/>
    </row>
    <row r="257" spans="1:77" s="8" customFormat="1" ht="18.5" customHeight="1" x14ac:dyDescent="0.2">
      <c r="A257" s="66"/>
      <c r="B257" s="179" t="s">
        <v>361</v>
      </c>
      <c r="C257" s="179"/>
      <c r="D257" s="72">
        <v>80000</v>
      </c>
      <c r="E257" s="108"/>
    </row>
    <row r="258" spans="1:77" s="8" customFormat="1" ht="16.75" customHeight="1" x14ac:dyDescent="0.2">
      <c r="A258" s="66"/>
      <c r="B258" s="179" t="s">
        <v>123</v>
      </c>
      <c r="C258" s="179"/>
      <c r="D258" s="72">
        <v>50000</v>
      </c>
      <c r="E258" s="108"/>
    </row>
    <row r="259" spans="1:77" s="8" customFormat="1" x14ac:dyDescent="0.2">
      <c r="A259" s="66"/>
      <c r="B259" s="48" t="s">
        <v>165</v>
      </c>
      <c r="C259" s="74" t="s">
        <v>506</v>
      </c>
      <c r="D259" s="95">
        <v>120000</v>
      </c>
      <c r="E259" s="164"/>
      <c r="F259" s="84"/>
    </row>
    <row r="260" spans="1:77" s="8" customFormat="1" x14ac:dyDescent="0.2">
      <c r="A260" s="66"/>
      <c r="B260" s="48" t="s">
        <v>164</v>
      </c>
      <c r="C260" s="74" t="s">
        <v>507</v>
      </c>
      <c r="D260" s="95">
        <v>80000</v>
      </c>
      <c r="E260" s="164"/>
      <c r="F260" s="188"/>
    </row>
    <row r="261" spans="1:77" s="8" customFormat="1" x14ac:dyDescent="0.2">
      <c r="A261" s="66"/>
      <c r="B261" s="48" t="s">
        <v>163</v>
      </c>
      <c r="C261" s="74" t="s">
        <v>166</v>
      </c>
      <c r="D261" s="95">
        <f>5000*53</f>
        <v>265000</v>
      </c>
      <c r="E261" s="164"/>
      <c r="F261" s="84"/>
      <c r="G261" s="187"/>
    </row>
    <row r="262" spans="1:77" s="13" customFormat="1" ht="17" x14ac:dyDescent="0.2">
      <c r="A262" s="28"/>
      <c r="B262" s="51" t="s">
        <v>0</v>
      </c>
      <c r="C262" s="91"/>
      <c r="D262" s="148"/>
      <c r="E262" s="160">
        <f>SUM(D256:D261)</f>
        <v>695000</v>
      </c>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row>
    <row r="263" spans="1:77" s="13" customFormat="1" ht="16" x14ac:dyDescent="0.2">
      <c r="A263" s="68"/>
      <c r="B263" s="97"/>
      <c r="C263" s="97"/>
      <c r="D263" s="147"/>
      <c r="E263" s="147"/>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row>
    <row r="264" spans="1:77" s="8" customFormat="1" ht="17" x14ac:dyDescent="0.2">
      <c r="A264" s="66" t="s">
        <v>263</v>
      </c>
      <c r="B264" s="59" t="s">
        <v>181</v>
      </c>
      <c r="C264" s="60"/>
      <c r="D264" s="165"/>
      <c r="E264" s="165"/>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row>
    <row r="265" spans="1:77" s="10" customFormat="1" ht="24" customHeight="1" x14ac:dyDescent="0.2">
      <c r="A265" s="68"/>
      <c r="B265" s="199" t="s">
        <v>182</v>
      </c>
      <c r="C265" s="199"/>
      <c r="D265" s="199"/>
      <c r="E265" s="199"/>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row>
    <row r="266" spans="1:77" s="8" customFormat="1" ht="34" x14ac:dyDescent="0.2">
      <c r="A266" s="66"/>
      <c r="B266" s="179" t="s">
        <v>274</v>
      </c>
      <c r="C266" s="179"/>
      <c r="D266" s="72">
        <v>1250000</v>
      </c>
      <c r="E266" s="174"/>
    </row>
    <row r="267" spans="1:77" s="8" customFormat="1" ht="17" x14ac:dyDescent="0.2">
      <c r="A267" s="66"/>
      <c r="B267" s="179" t="s">
        <v>183</v>
      </c>
      <c r="C267" s="179"/>
      <c r="D267" s="72">
        <v>250000</v>
      </c>
      <c r="E267" s="108"/>
    </row>
    <row r="268" spans="1:77" s="8" customFormat="1" ht="17" x14ac:dyDescent="0.2">
      <c r="A268" s="66"/>
      <c r="B268" s="179" t="s">
        <v>184</v>
      </c>
      <c r="C268" s="179"/>
      <c r="D268" s="72">
        <f>1000000-61000</f>
        <v>939000</v>
      </c>
      <c r="E268" s="108"/>
    </row>
    <row r="269" spans="1:77" s="8" customFormat="1" ht="17" x14ac:dyDescent="0.2">
      <c r="A269" s="66"/>
      <c r="B269" s="52" t="s">
        <v>0</v>
      </c>
      <c r="C269" s="34"/>
      <c r="D269" s="149"/>
      <c r="E269" s="50">
        <f>SUM(D266:D268)</f>
        <v>2439000</v>
      </c>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row>
    <row r="270" spans="1:77" s="8" customFormat="1" ht="16" x14ac:dyDescent="0.2">
      <c r="A270" s="68"/>
      <c r="B270" s="97"/>
      <c r="C270" s="97"/>
      <c r="D270" s="147"/>
      <c r="E270" s="147"/>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row>
    <row r="271" spans="1:77" s="8" customFormat="1" ht="17" x14ac:dyDescent="0.2">
      <c r="A271" s="66" t="s">
        <v>264</v>
      </c>
      <c r="B271" s="59" t="s">
        <v>225</v>
      </c>
      <c r="C271" s="60"/>
      <c r="D271" s="165"/>
      <c r="E271" s="165"/>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row>
    <row r="272" spans="1:77" s="8" customFormat="1" ht="49" customHeight="1" x14ac:dyDescent="0.2">
      <c r="A272" s="37"/>
      <c r="B272" s="199" t="s">
        <v>426</v>
      </c>
      <c r="C272" s="199"/>
      <c r="D272" s="199"/>
      <c r="E272" s="199"/>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row>
    <row r="273" spans="1:77" s="8" customFormat="1" ht="17" x14ac:dyDescent="0.2">
      <c r="A273" s="66"/>
      <c r="B273" s="179" t="s">
        <v>185</v>
      </c>
      <c r="C273" s="179"/>
      <c r="D273" s="72">
        <v>1000000</v>
      </c>
      <c r="E273" s="175"/>
      <c r="F273" s="70"/>
    </row>
    <row r="274" spans="1:77" s="8" customFormat="1" ht="17" x14ac:dyDescent="0.2">
      <c r="A274" s="66"/>
      <c r="B274" s="51" t="s">
        <v>0</v>
      </c>
      <c r="C274" s="91"/>
      <c r="D274" s="148"/>
      <c r="E274" s="160">
        <f>SUM(D273:D273)</f>
        <v>1000000</v>
      </c>
      <c r="F274" s="5"/>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row>
    <row r="275" spans="1:77" s="8" customFormat="1" ht="16" x14ac:dyDescent="0.2">
      <c r="A275" s="37"/>
      <c r="B275" s="212"/>
      <c r="C275" s="212"/>
      <c r="D275" s="212"/>
      <c r="E275" s="212"/>
      <c r="F275" s="5"/>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row>
    <row r="276" spans="1:77" s="8" customFormat="1" ht="17" x14ac:dyDescent="0.2">
      <c r="A276" s="66" t="s">
        <v>265</v>
      </c>
      <c r="B276" s="54" t="s">
        <v>237</v>
      </c>
      <c r="C276" s="91"/>
      <c r="D276" s="148"/>
      <c r="E276" s="160"/>
      <c r="F276" s="5"/>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row>
    <row r="277" spans="1:77" s="8" customFormat="1" ht="35.5" customHeight="1" x14ac:dyDescent="0.2">
      <c r="A277" s="37"/>
      <c r="B277" s="199" t="s">
        <v>236</v>
      </c>
      <c r="C277" s="199"/>
      <c r="D277" s="199"/>
      <c r="E277" s="199"/>
      <c r="F277" s="5"/>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row>
    <row r="278" spans="1:77" s="8" customFormat="1" ht="17" x14ac:dyDescent="0.2">
      <c r="A278" s="66"/>
      <c r="B278" s="179" t="s">
        <v>235</v>
      </c>
      <c r="C278" s="61"/>
      <c r="D278" s="95">
        <v>400000</v>
      </c>
      <c r="E278" s="80"/>
      <c r="F278" s="70"/>
    </row>
    <row r="279" spans="1:77" s="8" customFormat="1" ht="17" x14ac:dyDescent="0.2">
      <c r="A279" s="66"/>
      <c r="B279" s="179" t="s">
        <v>362</v>
      </c>
      <c r="C279" s="61"/>
      <c r="D279" s="95">
        <v>0</v>
      </c>
      <c r="E279" s="80"/>
      <c r="F279" s="70"/>
    </row>
    <row r="280" spans="1:77" s="8" customFormat="1" ht="17" x14ac:dyDescent="0.2">
      <c r="A280" s="66"/>
      <c r="B280" s="179" t="s">
        <v>363</v>
      </c>
      <c r="C280" s="61"/>
      <c r="D280" s="95">
        <v>300000</v>
      </c>
      <c r="E280" s="80"/>
      <c r="F280" s="70"/>
    </row>
    <row r="281" spans="1:77" s="8" customFormat="1" ht="17" x14ac:dyDescent="0.2">
      <c r="A281" s="66"/>
      <c r="B281" s="179" t="s">
        <v>364</v>
      </c>
      <c r="C281" s="61"/>
      <c r="D281" s="95">
        <v>200000</v>
      </c>
      <c r="E281" s="80"/>
      <c r="F281" s="70"/>
    </row>
    <row r="282" spans="1:77" s="8" customFormat="1" ht="17" x14ac:dyDescent="0.2">
      <c r="A282" s="66"/>
      <c r="B282" s="51" t="s">
        <v>0</v>
      </c>
      <c r="C282" s="91"/>
      <c r="D282" s="148"/>
      <c r="E282" s="160">
        <f>SUM(D278:D281)</f>
        <v>900000</v>
      </c>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row>
    <row r="283" spans="1:77" s="8" customFormat="1" ht="16" x14ac:dyDescent="0.2">
      <c r="A283" s="37"/>
      <c r="B283" s="212"/>
      <c r="C283" s="212"/>
      <c r="D283" s="212"/>
      <c r="E283" s="212"/>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row>
    <row r="284" spans="1:77" s="17" customFormat="1" ht="17" x14ac:dyDescent="0.2">
      <c r="A284" s="28" t="s">
        <v>266</v>
      </c>
      <c r="B284" s="69" t="s">
        <v>371</v>
      </c>
      <c r="C284" s="69"/>
      <c r="D284" s="49"/>
      <c r="E284" s="50"/>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row>
    <row r="285" spans="1:77" s="17" customFormat="1" ht="52.25" customHeight="1" x14ac:dyDescent="0.2">
      <c r="A285" s="37"/>
      <c r="B285" s="213" t="s">
        <v>370</v>
      </c>
      <c r="C285" s="213"/>
      <c r="D285" s="213"/>
      <c r="E285" s="2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row>
    <row r="286" spans="1:77" s="8" customFormat="1" ht="17" x14ac:dyDescent="0.2">
      <c r="A286" s="66"/>
      <c r="B286" s="108" t="s">
        <v>118</v>
      </c>
      <c r="C286" s="48" t="s">
        <v>369</v>
      </c>
      <c r="D286" s="73">
        <v>120000</v>
      </c>
      <c r="E286" s="80"/>
    </row>
    <row r="287" spans="1:77" s="8" customFormat="1" ht="16" x14ac:dyDescent="0.2">
      <c r="A287" s="66"/>
      <c r="B287" s="96" t="s">
        <v>0</v>
      </c>
      <c r="C287" s="83"/>
      <c r="D287" s="73"/>
      <c r="E287" s="192">
        <f>SUM(D286:D286)</f>
        <v>120000</v>
      </c>
    </row>
    <row r="288" spans="1:77" s="8" customFormat="1" ht="16" x14ac:dyDescent="0.2">
      <c r="A288" s="212"/>
      <c r="B288" s="212"/>
      <c r="C288" s="212"/>
      <c r="D288" s="212"/>
      <c r="E288" s="190"/>
    </row>
    <row r="289" spans="1:77" s="13" customFormat="1" ht="17" x14ac:dyDescent="0.2">
      <c r="A289" s="28" t="s">
        <v>429</v>
      </c>
      <c r="B289" s="69" t="s">
        <v>150</v>
      </c>
      <c r="C289" s="69"/>
      <c r="D289" s="49"/>
      <c r="E289" s="50"/>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row>
    <row r="290" spans="1:77" s="13" customFormat="1" ht="65" customHeight="1" x14ac:dyDescent="0.2">
      <c r="A290" s="37"/>
      <c r="B290" s="213" t="s">
        <v>117</v>
      </c>
      <c r="C290" s="213"/>
      <c r="D290" s="213"/>
      <c r="E290" s="2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row>
    <row r="291" spans="1:77" s="8" customFormat="1" ht="17" x14ac:dyDescent="0.2">
      <c r="A291" s="66"/>
      <c r="B291" s="108" t="s">
        <v>118</v>
      </c>
      <c r="C291" s="48" t="s">
        <v>284</v>
      </c>
      <c r="D291" s="73">
        <v>160000</v>
      </c>
      <c r="E291" s="80"/>
    </row>
    <row r="292" spans="1:77" s="8" customFormat="1" ht="17" x14ac:dyDescent="0.2">
      <c r="A292" s="66"/>
      <c r="B292" s="61" t="s">
        <v>119</v>
      </c>
      <c r="C292" s="83" t="s">
        <v>407</v>
      </c>
      <c r="D292" s="73">
        <v>25000</v>
      </c>
      <c r="E292" s="80"/>
    </row>
    <row r="293" spans="1:77" s="13" customFormat="1" ht="17" x14ac:dyDescent="0.2">
      <c r="A293" s="28"/>
      <c r="B293" s="43" t="s">
        <v>0</v>
      </c>
      <c r="C293" s="29"/>
      <c r="D293" s="157"/>
      <c r="E293" s="36">
        <f>SUM(D291:D292)</f>
        <v>185000</v>
      </c>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row>
    <row r="294" spans="1:77" s="13" customFormat="1" ht="16" x14ac:dyDescent="0.2">
      <c r="A294" s="37"/>
      <c r="B294" s="225"/>
      <c r="C294" s="225"/>
      <c r="D294" s="225"/>
      <c r="E294" s="225"/>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row>
    <row r="295" spans="1:77" ht="17" x14ac:dyDescent="0.2">
      <c r="A295" s="28" t="s">
        <v>473</v>
      </c>
      <c r="B295" s="69" t="s">
        <v>170</v>
      </c>
      <c r="C295" s="30"/>
      <c r="D295" s="49"/>
      <c r="E295" s="49"/>
      <c r="F295" s="3"/>
    </row>
    <row r="296" spans="1:77" ht="85" customHeight="1" x14ac:dyDescent="0.2">
      <c r="A296" s="37"/>
      <c r="B296" s="199" t="s">
        <v>169</v>
      </c>
      <c r="C296" s="199"/>
      <c r="D296" s="199"/>
      <c r="E296" s="199"/>
      <c r="F296" s="3"/>
    </row>
    <row r="297" spans="1:77" s="8" customFormat="1" ht="17" x14ac:dyDescent="0.2">
      <c r="A297" s="66"/>
      <c r="B297" s="48" t="s">
        <v>484</v>
      </c>
      <c r="C297" s="105" t="s">
        <v>311</v>
      </c>
      <c r="D297" s="72">
        <v>2000000</v>
      </c>
      <c r="E297" s="73"/>
    </row>
    <row r="298" spans="1:77" s="8" customFormat="1" ht="17" x14ac:dyDescent="0.2">
      <c r="A298" s="79"/>
      <c r="B298" s="108" t="s">
        <v>480</v>
      </c>
      <c r="C298" s="48" t="s">
        <v>481</v>
      </c>
      <c r="D298" s="73">
        <f>350*120*9</f>
        <v>378000</v>
      </c>
      <c r="E298" s="80"/>
    </row>
    <row r="299" spans="1:77" ht="17" x14ac:dyDescent="0.2">
      <c r="A299" s="28"/>
      <c r="B299" s="45" t="s">
        <v>0</v>
      </c>
      <c r="C299" s="30"/>
      <c r="D299" s="49"/>
      <c r="E299" s="46">
        <f>SUM(D297:D298)</f>
        <v>2378000</v>
      </c>
      <c r="F299" s="3"/>
    </row>
    <row r="300" spans="1:77" s="11" customFormat="1" ht="16" x14ac:dyDescent="0.2">
      <c r="A300" s="37"/>
      <c r="B300" s="37"/>
      <c r="C300" s="38"/>
      <c r="D300" s="44"/>
      <c r="E300" s="40"/>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row>
    <row r="301" spans="1:77" s="2" customFormat="1" ht="16" x14ac:dyDescent="0.2">
      <c r="A301" s="28" t="s">
        <v>267</v>
      </c>
      <c r="B301" s="28" t="s">
        <v>204</v>
      </c>
      <c r="C301" s="69"/>
      <c r="D301" s="49"/>
      <c r="E301" s="50"/>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row>
    <row r="302" spans="1:77" s="2" customFormat="1" ht="77.5" customHeight="1" x14ac:dyDescent="0.2">
      <c r="A302" s="37"/>
      <c r="B302" s="205" t="s">
        <v>419</v>
      </c>
      <c r="C302" s="206"/>
      <c r="D302" s="206"/>
      <c r="E302" s="206"/>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row>
    <row r="303" spans="1:77" s="70" customFormat="1" ht="17" x14ac:dyDescent="0.2">
      <c r="A303" s="66"/>
      <c r="B303" s="48" t="s">
        <v>205</v>
      </c>
      <c r="C303" s="48" t="s">
        <v>501</v>
      </c>
      <c r="D303" s="72">
        <f>4*500000</f>
        <v>2000000</v>
      </c>
      <c r="E303" s="80"/>
      <c r="F303" s="186"/>
    </row>
    <row r="304" spans="1:77" s="2" customFormat="1" ht="17" x14ac:dyDescent="0.2">
      <c r="A304" s="28"/>
      <c r="B304" s="45" t="s">
        <v>0</v>
      </c>
      <c r="C304" s="69"/>
      <c r="D304" s="50"/>
      <c r="E304" s="50">
        <f>SUM(D303:D303)</f>
        <v>2000000</v>
      </c>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row>
    <row r="305" spans="1:77" ht="16" x14ac:dyDescent="0.2">
      <c r="A305" s="37"/>
      <c r="B305" s="37"/>
      <c r="C305" s="38"/>
      <c r="D305" s="44"/>
      <c r="E305" s="40"/>
      <c r="F305" s="3"/>
    </row>
    <row r="306" spans="1:77" s="11" customFormat="1" ht="15" customHeight="1" x14ac:dyDescent="0.2">
      <c r="A306" s="28" t="s">
        <v>268</v>
      </c>
      <c r="B306" s="209" t="s">
        <v>191</v>
      </c>
      <c r="C306" s="209"/>
      <c r="D306" s="157"/>
      <c r="E306" s="157"/>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row>
    <row r="307" spans="1:77" s="11" customFormat="1" ht="37" customHeight="1" x14ac:dyDescent="0.2">
      <c r="A307" s="37"/>
      <c r="B307" s="210" t="s">
        <v>192</v>
      </c>
      <c r="C307" s="210"/>
      <c r="D307" s="210"/>
      <c r="E307" s="211"/>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row>
    <row r="308" spans="1:77" s="8" customFormat="1" ht="17" x14ac:dyDescent="0.2">
      <c r="A308" s="66"/>
      <c r="B308" s="48" t="s">
        <v>193</v>
      </c>
      <c r="C308" s="74"/>
      <c r="D308" s="72">
        <v>5000000</v>
      </c>
      <c r="E308" s="80"/>
    </row>
    <row r="309" spans="1:77" s="8" customFormat="1" ht="17" x14ac:dyDescent="0.2">
      <c r="A309" s="66"/>
      <c r="B309" s="48" t="s">
        <v>275</v>
      </c>
      <c r="C309" s="74"/>
      <c r="D309" s="72">
        <v>500000</v>
      </c>
      <c r="E309" s="73"/>
    </row>
    <row r="310" spans="1:77" s="11" customFormat="1" ht="17" x14ac:dyDescent="0.2">
      <c r="A310" s="28"/>
      <c r="B310" s="43" t="s">
        <v>0</v>
      </c>
      <c r="C310" s="29"/>
      <c r="D310" s="157"/>
      <c r="E310" s="36">
        <f>SUM(D308:D309)</f>
        <v>5500000</v>
      </c>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row>
    <row r="311" spans="1:77" s="12" customFormat="1" ht="16" x14ac:dyDescent="0.2">
      <c r="A311" s="37"/>
      <c r="B311" s="37"/>
      <c r="C311" s="38"/>
      <c r="D311" s="44"/>
      <c r="E311" s="40"/>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row>
    <row r="312" spans="1:77" ht="17" x14ac:dyDescent="0.2">
      <c r="A312" s="28" t="s">
        <v>269</v>
      </c>
      <c r="B312" s="69" t="s">
        <v>145</v>
      </c>
      <c r="C312" s="69"/>
      <c r="D312" s="166"/>
      <c r="E312" s="166"/>
      <c r="F312" s="3"/>
    </row>
    <row r="313" spans="1:77" ht="80" customHeight="1" x14ac:dyDescent="0.2">
      <c r="A313" s="37"/>
      <c r="B313" s="199" t="s">
        <v>146</v>
      </c>
      <c r="C313" s="199"/>
      <c r="D313" s="199"/>
      <c r="E313" s="200"/>
      <c r="F313" s="3"/>
    </row>
    <row r="314" spans="1:77" s="8" customFormat="1" ht="17" x14ac:dyDescent="0.2">
      <c r="A314" s="66"/>
      <c r="B314" s="74" t="s">
        <v>147</v>
      </c>
      <c r="C314" s="48" t="s">
        <v>283</v>
      </c>
      <c r="D314" s="73">
        <v>1525000</v>
      </c>
      <c r="E314" s="73"/>
      <c r="F314" s="70"/>
    </row>
    <row r="315" spans="1:77" ht="17" x14ac:dyDescent="0.2">
      <c r="A315" s="28"/>
      <c r="B315" s="45" t="s">
        <v>0</v>
      </c>
      <c r="C315" s="30"/>
      <c r="D315" s="166"/>
      <c r="E315" s="46">
        <f>SUM(D314:D314)</f>
        <v>1525000</v>
      </c>
      <c r="F315" s="3"/>
    </row>
    <row r="316" spans="1:77" s="17" customFormat="1" ht="16" x14ac:dyDescent="0.2">
      <c r="A316" s="37"/>
      <c r="B316" s="37"/>
      <c r="C316" s="38"/>
      <c r="D316" s="44"/>
      <c r="E316" s="40"/>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row>
    <row r="317" spans="1:77" ht="17" x14ac:dyDescent="0.2">
      <c r="A317" s="28" t="s">
        <v>270</v>
      </c>
      <c r="B317" s="69" t="s">
        <v>151</v>
      </c>
      <c r="C317" s="69"/>
      <c r="D317" s="166"/>
      <c r="E317" s="166"/>
      <c r="F317" s="3"/>
    </row>
    <row r="318" spans="1:77" ht="34.75" customHeight="1" x14ac:dyDescent="0.2">
      <c r="A318" s="37"/>
      <c r="B318" s="199" t="s">
        <v>217</v>
      </c>
      <c r="C318" s="199"/>
      <c r="D318" s="199"/>
      <c r="E318" s="200"/>
      <c r="F318" s="3"/>
    </row>
    <row r="319" spans="1:77" s="8" customFormat="1" ht="17" x14ac:dyDescent="0.2">
      <c r="A319" s="66"/>
      <c r="B319" s="48" t="s">
        <v>116</v>
      </c>
      <c r="C319" s="48"/>
      <c r="D319" s="73">
        <v>150000</v>
      </c>
      <c r="E319" s="73"/>
    </row>
    <row r="320" spans="1:77" ht="17" x14ac:dyDescent="0.2">
      <c r="A320" s="28"/>
      <c r="B320" s="45" t="s">
        <v>0</v>
      </c>
      <c r="C320" s="30"/>
      <c r="D320" s="166"/>
      <c r="E320" s="46">
        <f>SUM(D319:D319)</f>
        <v>150000</v>
      </c>
      <c r="F320" s="3"/>
    </row>
    <row r="321" spans="1:77" s="17" customFormat="1" ht="16" x14ac:dyDescent="0.2">
      <c r="A321" s="37"/>
      <c r="B321" s="37"/>
      <c r="C321" s="38"/>
      <c r="D321" s="44"/>
      <c r="E321" s="4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row>
    <row r="322" spans="1:77" s="17" customFormat="1" ht="17" x14ac:dyDescent="0.2">
      <c r="A322" s="28" t="s">
        <v>271</v>
      </c>
      <c r="B322" s="69" t="s">
        <v>365</v>
      </c>
      <c r="C322" s="69"/>
      <c r="D322" s="166"/>
      <c r="E322" s="166"/>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row>
    <row r="323" spans="1:77" s="17" customFormat="1" ht="82" customHeight="1" x14ac:dyDescent="0.2">
      <c r="A323" s="37"/>
      <c r="B323" s="199" t="s">
        <v>427</v>
      </c>
      <c r="C323" s="199"/>
      <c r="D323" s="199"/>
      <c r="E323" s="20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row>
    <row r="324" spans="1:77" s="8" customFormat="1" ht="17" x14ac:dyDescent="0.2">
      <c r="A324" s="66"/>
      <c r="B324" s="48" t="s">
        <v>408</v>
      </c>
      <c r="C324" s="48" t="s">
        <v>496</v>
      </c>
      <c r="D324" s="73">
        <v>7000000</v>
      </c>
      <c r="E324" s="73"/>
    </row>
    <row r="325" spans="1:77" s="17" customFormat="1" ht="17" x14ac:dyDescent="0.2">
      <c r="A325" s="28"/>
      <c r="B325" s="45" t="s">
        <v>0</v>
      </c>
      <c r="C325" s="30"/>
      <c r="D325" s="166"/>
      <c r="E325" s="46">
        <f>SUM(D324:D324)</f>
        <v>7000000</v>
      </c>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row>
    <row r="326" spans="1:77" ht="17" x14ac:dyDescent="0.2">
      <c r="A326" s="28" t="s">
        <v>272</v>
      </c>
      <c r="B326" s="69" t="s">
        <v>196</v>
      </c>
      <c r="C326" s="69"/>
      <c r="D326" s="49"/>
      <c r="E326" s="50"/>
      <c r="F326" s="3"/>
    </row>
    <row r="327" spans="1:77" ht="99" customHeight="1" x14ac:dyDescent="0.2">
      <c r="A327" s="37"/>
      <c r="B327" s="199" t="s">
        <v>197</v>
      </c>
      <c r="C327" s="199"/>
      <c r="D327" s="199"/>
      <c r="E327" s="204"/>
      <c r="F327" s="3"/>
    </row>
    <row r="328" spans="1:77" s="8" customFormat="1" ht="17" x14ac:dyDescent="0.2">
      <c r="A328" s="66"/>
      <c r="B328" s="108" t="s">
        <v>366</v>
      </c>
      <c r="C328" s="74"/>
      <c r="D328" s="73">
        <v>2500000</v>
      </c>
      <c r="E328" s="82"/>
    </row>
    <row r="329" spans="1:77" s="93" customFormat="1" ht="17" x14ac:dyDescent="0.2">
      <c r="A329" s="66"/>
      <c r="B329" s="79" t="s">
        <v>0</v>
      </c>
      <c r="C329" s="74"/>
      <c r="D329" s="73"/>
      <c r="E329" s="82">
        <f>+D328</f>
        <v>2500000</v>
      </c>
      <c r="F329" s="185"/>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row>
    <row r="330" spans="1:77" ht="16" x14ac:dyDescent="0.2">
      <c r="A330" s="37"/>
      <c r="B330" s="37"/>
      <c r="C330" s="38"/>
      <c r="D330" s="44"/>
      <c r="E330" s="40"/>
      <c r="F330" s="3"/>
    </row>
    <row r="331" spans="1:77" s="17" customFormat="1" ht="21" customHeight="1" x14ac:dyDescent="0.2">
      <c r="A331" s="79" t="s">
        <v>430</v>
      </c>
      <c r="B331" s="81" t="s">
        <v>476</v>
      </c>
      <c r="C331" s="99"/>
      <c r="D331" s="7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row>
    <row r="332" spans="1:77" s="17" customFormat="1" ht="28.25" customHeight="1" x14ac:dyDescent="0.2">
      <c r="A332" s="37"/>
      <c r="B332" s="202" t="s">
        <v>483</v>
      </c>
      <c r="C332" s="203"/>
      <c r="D332" s="203"/>
      <c r="E332" s="20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row>
    <row r="333" spans="1:77" s="17" customFormat="1" ht="17" x14ac:dyDescent="0.2">
      <c r="A333" s="79"/>
      <c r="B333" s="108" t="s">
        <v>367</v>
      </c>
      <c r="C333" s="180"/>
      <c r="D333" s="73">
        <v>10000000</v>
      </c>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row>
    <row r="334" spans="1:77" s="17" customFormat="1" ht="17" x14ac:dyDescent="0.2">
      <c r="A334" s="79"/>
      <c r="B334" s="91"/>
      <c r="C334" s="99" t="s">
        <v>368</v>
      </c>
      <c r="D334" s="73"/>
      <c r="E334" s="80">
        <f>SUM(D333:D333)</f>
        <v>10000000</v>
      </c>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row>
    <row r="335" spans="1:77" s="17" customFormat="1" ht="16" x14ac:dyDescent="0.2">
      <c r="A335" s="37"/>
      <c r="B335" s="37"/>
      <c r="C335" s="38"/>
      <c r="D335" s="39"/>
      <c r="E335" s="4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row>
    <row r="336" spans="1:77" s="17" customFormat="1" ht="16" x14ac:dyDescent="0.2">
      <c r="A336" s="79"/>
      <c r="B336" s="79"/>
      <c r="C336" s="99"/>
      <c r="D336" s="95"/>
      <c r="E336" s="80"/>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row>
    <row r="337" spans="1:77" s="17" customFormat="1" ht="23.5" customHeight="1" x14ac:dyDescent="0.2">
      <c r="A337" s="79" t="s">
        <v>431</v>
      </c>
      <c r="B337" s="81" t="s">
        <v>477</v>
      </c>
      <c r="C337" s="99"/>
      <c r="D337" s="73"/>
      <c r="E337" s="80"/>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row>
    <row r="338" spans="1:77" s="17" customFormat="1" ht="23" customHeight="1" x14ac:dyDescent="0.2">
      <c r="A338" s="37"/>
      <c r="B338" s="202" t="s">
        <v>478</v>
      </c>
      <c r="C338" s="203"/>
      <c r="D338" s="203"/>
      <c r="E338" s="20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row>
    <row r="339" spans="1:77" s="17" customFormat="1" ht="17" x14ac:dyDescent="0.2">
      <c r="A339" s="79"/>
      <c r="B339" s="108" t="s">
        <v>479</v>
      </c>
      <c r="C339" s="180"/>
      <c r="D339" s="73">
        <v>1257000</v>
      </c>
      <c r="E339" s="80"/>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row>
    <row r="340" spans="1:77" s="17" customFormat="1" ht="17" x14ac:dyDescent="0.2">
      <c r="A340" s="79"/>
      <c r="B340" s="91"/>
      <c r="C340" s="193" t="s">
        <v>368</v>
      </c>
      <c r="D340" s="73"/>
      <c r="E340" s="80">
        <v>1257000</v>
      </c>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row>
    <row r="341" spans="1:77" s="17" customFormat="1" ht="16" x14ac:dyDescent="0.2">
      <c r="A341" s="37"/>
      <c r="B341" s="37"/>
      <c r="C341" s="38"/>
      <c r="D341" s="39"/>
      <c r="E341" s="40"/>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row>
    <row r="342" spans="1:77" s="15" customFormat="1" ht="17" customHeight="1" x14ac:dyDescent="0.2">
      <c r="A342" s="28"/>
      <c r="B342" s="62"/>
      <c r="C342" s="63" t="s">
        <v>231</v>
      </c>
      <c r="D342" s="64"/>
      <c r="E342" s="65">
        <f>E216+E229+E240+E252+E262+E269+E274+E282+E287+E293+E299+E304+E310+E315+E320+E325+E329+E334+E340</f>
        <v>41269000</v>
      </c>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row>
    <row r="343" spans="1:77" s="17" customFormat="1" ht="16" x14ac:dyDescent="0.2">
      <c r="A343" s="79"/>
      <c r="B343" s="79"/>
      <c r="C343" s="99"/>
      <c r="D343" s="95"/>
      <c r="E343" s="80"/>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row>
    <row r="344" spans="1:77" ht="16" x14ac:dyDescent="0.2">
      <c r="A344" s="66">
        <v>4</v>
      </c>
      <c r="B344" s="201" t="s">
        <v>422</v>
      </c>
      <c r="C344" s="201"/>
      <c r="D344" s="73"/>
      <c r="E344" s="95"/>
      <c r="F344" s="3"/>
    </row>
    <row r="345" spans="1:77" ht="16" x14ac:dyDescent="0.2">
      <c r="A345" s="68"/>
      <c r="B345" s="207"/>
      <c r="C345" s="207"/>
      <c r="D345" s="53"/>
      <c r="E345" s="152"/>
      <c r="F345" s="3"/>
    </row>
    <row r="346" spans="1:77" ht="16" x14ac:dyDescent="0.2">
      <c r="A346" s="28" t="s">
        <v>432</v>
      </c>
      <c r="B346" s="94" t="s">
        <v>240</v>
      </c>
      <c r="C346" s="30"/>
      <c r="D346" s="116"/>
      <c r="E346" s="149"/>
      <c r="F346" s="3"/>
    </row>
    <row r="347" spans="1:77" ht="16" x14ac:dyDescent="0.2">
      <c r="A347" s="28"/>
      <c r="B347" s="34" t="s">
        <v>461</v>
      </c>
      <c r="C347" s="30"/>
      <c r="D347" s="116"/>
      <c r="E347" s="149"/>
      <c r="F347" s="3"/>
    </row>
    <row r="348" spans="1:77" s="8" customFormat="1" ht="17" x14ac:dyDescent="0.2">
      <c r="A348" s="66"/>
      <c r="B348" s="61" t="s">
        <v>103</v>
      </c>
      <c r="C348" s="74" t="s">
        <v>296</v>
      </c>
      <c r="D348" s="72">
        <f>4400*120</f>
        <v>528000</v>
      </c>
      <c r="E348" s="95"/>
    </row>
    <row r="349" spans="1:77" s="8" customFormat="1" ht="17" x14ac:dyDescent="0.2">
      <c r="A349" s="66"/>
      <c r="B349" s="61" t="s">
        <v>26</v>
      </c>
      <c r="C349" s="74" t="s">
        <v>447</v>
      </c>
      <c r="D349" s="72">
        <v>180000</v>
      </c>
      <c r="E349" s="95"/>
    </row>
    <row r="350" spans="1:77" s="8" customFormat="1" ht="17" x14ac:dyDescent="0.2">
      <c r="A350" s="66"/>
      <c r="B350" s="61" t="s">
        <v>131</v>
      </c>
      <c r="C350" s="74" t="s">
        <v>307</v>
      </c>
      <c r="D350" s="72">
        <v>148000</v>
      </c>
      <c r="E350" s="95"/>
    </row>
    <row r="351" spans="1:77" s="8" customFormat="1" ht="17" x14ac:dyDescent="0.2">
      <c r="A351" s="66"/>
      <c r="B351" s="61" t="s">
        <v>132</v>
      </c>
      <c r="C351" s="74" t="s">
        <v>529</v>
      </c>
      <c r="D351" s="72">
        <v>141000</v>
      </c>
      <c r="E351" s="95"/>
    </row>
    <row r="352" spans="1:77" s="8" customFormat="1" ht="17" x14ac:dyDescent="0.2">
      <c r="A352" s="66"/>
      <c r="B352" s="61" t="s">
        <v>27</v>
      </c>
      <c r="C352" s="74" t="s">
        <v>298</v>
      </c>
      <c r="D352" s="72">
        <f>3500*120</f>
        <v>420000</v>
      </c>
      <c r="E352" s="95"/>
    </row>
    <row r="353" spans="1:5" s="8" customFormat="1" ht="17" x14ac:dyDescent="0.2">
      <c r="A353" s="66"/>
      <c r="B353" s="106" t="s">
        <v>0</v>
      </c>
      <c r="C353" s="106"/>
      <c r="D353" s="82"/>
      <c r="E353" s="82">
        <f>SUM(D348:D352)</f>
        <v>1417000</v>
      </c>
    </row>
    <row r="354" spans="1:5" s="8" customFormat="1" ht="16" x14ac:dyDescent="0.2">
      <c r="A354" s="66"/>
      <c r="B354" s="79"/>
      <c r="C354" s="99"/>
      <c r="D354" s="95"/>
      <c r="E354" s="80"/>
    </row>
    <row r="355" spans="1:5" s="8" customFormat="1" ht="16" x14ac:dyDescent="0.2">
      <c r="A355" s="66" t="s">
        <v>433</v>
      </c>
      <c r="B355" s="66" t="s">
        <v>443</v>
      </c>
      <c r="C355" s="74"/>
      <c r="D355" s="72"/>
      <c r="E355" s="95"/>
    </row>
    <row r="356" spans="1:5" s="8" customFormat="1" ht="16" x14ac:dyDescent="0.2">
      <c r="A356" s="66"/>
      <c r="B356" s="61" t="s">
        <v>462</v>
      </c>
      <c r="C356" s="74"/>
      <c r="D356" s="72"/>
      <c r="E356" s="95"/>
    </row>
    <row r="357" spans="1:5" s="8" customFormat="1" ht="17" x14ac:dyDescent="0.2">
      <c r="A357" s="66"/>
      <c r="B357" s="61" t="s">
        <v>133</v>
      </c>
      <c r="C357" s="74" t="s">
        <v>301</v>
      </c>
      <c r="D357" s="72">
        <f>3000*120</f>
        <v>360000</v>
      </c>
      <c r="E357" s="95"/>
    </row>
    <row r="358" spans="1:5" s="8" customFormat="1" ht="17" x14ac:dyDescent="0.2">
      <c r="A358" s="66"/>
      <c r="B358" s="61" t="s">
        <v>40</v>
      </c>
      <c r="C358" s="48" t="s">
        <v>293</v>
      </c>
      <c r="D358" s="72">
        <f>600*120</f>
        <v>72000</v>
      </c>
      <c r="E358" s="95"/>
    </row>
    <row r="359" spans="1:5" s="8" customFormat="1" ht="17" x14ac:dyDescent="0.2">
      <c r="A359" s="66"/>
      <c r="B359" s="61" t="s">
        <v>132</v>
      </c>
      <c r="C359" s="48" t="s">
        <v>303</v>
      </c>
      <c r="D359" s="72">
        <f>1000*120</f>
        <v>120000</v>
      </c>
      <c r="E359" s="95"/>
    </row>
    <row r="360" spans="1:5" s="8" customFormat="1" ht="17" x14ac:dyDescent="0.2">
      <c r="A360" s="66"/>
      <c r="B360" s="61" t="s">
        <v>444</v>
      </c>
      <c r="C360" s="48" t="s">
        <v>293</v>
      </c>
      <c r="D360" s="72">
        <f>600*120</f>
        <v>72000</v>
      </c>
      <c r="E360" s="95"/>
    </row>
    <row r="361" spans="1:5" s="8" customFormat="1" ht="17" x14ac:dyDescent="0.2">
      <c r="A361" s="66"/>
      <c r="B361" s="61" t="s">
        <v>27</v>
      </c>
      <c r="C361" s="48" t="s">
        <v>298</v>
      </c>
      <c r="D361" s="72">
        <f>3500*120</f>
        <v>420000</v>
      </c>
      <c r="E361" s="95"/>
    </row>
    <row r="362" spans="1:5" s="8" customFormat="1" ht="17" x14ac:dyDescent="0.2">
      <c r="A362" s="66"/>
      <c r="B362" s="106" t="s">
        <v>0</v>
      </c>
      <c r="C362" s="106"/>
      <c r="D362" s="82"/>
      <c r="E362" s="82">
        <f>SUM(D357:D361)</f>
        <v>1044000</v>
      </c>
    </row>
    <row r="363" spans="1:5" s="8" customFormat="1" ht="16" x14ac:dyDescent="0.2">
      <c r="A363" s="66"/>
      <c r="B363" s="79"/>
      <c r="C363" s="99"/>
      <c r="D363" s="95"/>
      <c r="E363" s="80"/>
    </row>
    <row r="364" spans="1:5" s="8" customFormat="1" ht="16" x14ac:dyDescent="0.2">
      <c r="A364" s="66" t="s">
        <v>475</v>
      </c>
      <c r="B364" s="66" t="s">
        <v>533</v>
      </c>
      <c r="C364" s="74"/>
      <c r="D364" s="72"/>
      <c r="E364" s="95"/>
    </row>
    <row r="365" spans="1:5" s="8" customFormat="1" ht="16" x14ac:dyDescent="0.2">
      <c r="A365" s="66"/>
      <c r="B365" s="61" t="s">
        <v>463</v>
      </c>
      <c r="C365" s="74"/>
      <c r="D365" s="72"/>
      <c r="E365" s="95"/>
    </row>
    <row r="366" spans="1:5" s="8" customFormat="1" ht="17" x14ac:dyDescent="0.2">
      <c r="A366" s="66"/>
      <c r="B366" s="61" t="s">
        <v>103</v>
      </c>
      <c r="C366" s="48" t="s">
        <v>445</v>
      </c>
      <c r="D366" s="72">
        <f>4000*120</f>
        <v>480000</v>
      </c>
      <c r="E366" s="95"/>
    </row>
    <row r="367" spans="1:5" s="8" customFormat="1" ht="17" x14ac:dyDescent="0.2">
      <c r="A367" s="66"/>
      <c r="B367" s="61" t="s">
        <v>26</v>
      </c>
      <c r="C367" s="48" t="s">
        <v>531</v>
      </c>
      <c r="D367" s="72">
        <v>384000</v>
      </c>
      <c r="E367" s="95"/>
    </row>
    <row r="368" spans="1:5" s="8" customFormat="1" ht="17" x14ac:dyDescent="0.2">
      <c r="A368" s="66"/>
      <c r="B368" s="61" t="s">
        <v>40</v>
      </c>
      <c r="C368" s="74" t="s">
        <v>446</v>
      </c>
      <c r="D368" s="72">
        <f>900*120</f>
        <v>108000</v>
      </c>
      <c r="E368" s="95"/>
    </row>
    <row r="369" spans="1:5" s="8" customFormat="1" ht="17" x14ac:dyDescent="0.2">
      <c r="A369" s="66"/>
      <c r="B369" s="61" t="s">
        <v>132</v>
      </c>
      <c r="C369" s="48" t="s">
        <v>447</v>
      </c>
      <c r="D369" s="72">
        <f>1500*120</f>
        <v>180000</v>
      </c>
      <c r="E369" s="95"/>
    </row>
    <row r="370" spans="1:5" s="8" customFormat="1" ht="17" x14ac:dyDescent="0.2">
      <c r="A370" s="66"/>
      <c r="B370" s="61" t="s">
        <v>444</v>
      </c>
      <c r="C370" s="48" t="s">
        <v>448</v>
      </c>
      <c r="D370" s="72">
        <f>750*120</f>
        <v>90000</v>
      </c>
      <c r="E370" s="95"/>
    </row>
    <row r="371" spans="1:5" s="8" customFormat="1" ht="17" x14ac:dyDescent="0.2">
      <c r="A371" s="66"/>
      <c r="B371" s="61" t="s">
        <v>27</v>
      </c>
      <c r="C371" s="48" t="s">
        <v>449</v>
      </c>
      <c r="D371" s="72">
        <f>3800*120</f>
        <v>456000</v>
      </c>
      <c r="E371" s="95"/>
    </row>
    <row r="372" spans="1:5" s="8" customFormat="1" ht="17" x14ac:dyDescent="0.2">
      <c r="A372" s="66"/>
      <c r="B372" s="106" t="s">
        <v>0</v>
      </c>
      <c r="C372" s="106"/>
      <c r="D372" s="82"/>
      <c r="E372" s="82">
        <f>SUM(D366:D371)</f>
        <v>1698000</v>
      </c>
    </row>
    <row r="373" spans="1:5" s="8" customFormat="1" ht="16" x14ac:dyDescent="0.2">
      <c r="A373" s="66"/>
      <c r="B373" s="79"/>
      <c r="C373" s="99"/>
      <c r="D373" s="95"/>
      <c r="E373" s="80"/>
    </row>
    <row r="374" spans="1:5" s="8" customFormat="1" ht="17" x14ac:dyDescent="0.2">
      <c r="A374" s="66" t="s">
        <v>434</v>
      </c>
      <c r="B374" s="111" t="s">
        <v>450</v>
      </c>
      <c r="C374" s="74"/>
      <c r="D374" s="72"/>
      <c r="E374" s="95"/>
    </row>
    <row r="375" spans="1:5" s="8" customFormat="1" ht="17" x14ac:dyDescent="0.2">
      <c r="A375" s="66"/>
      <c r="B375" s="74" t="s">
        <v>464</v>
      </c>
      <c r="C375" s="74"/>
      <c r="D375" s="72"/>
      <c r="E375" s="95"/>
    </row>
    <row r="376" spans="1:5" s="8" customFormat="1" ht="17" x14ac:dyDescent="0.2">
      <c r="A376" s="66"/>
      <c r="B376" s="61" t="s">
        <v>133</v>
      </c>
      <c r="C376" s="74" t="s">
        <v>451</v>
      </c>
      <c r="D376" s="72">
        <f>2600*120</f>
        <v>312000</v>
      </c>
      <c r="E376" s="95"/>
    </row>
    <row r="377" spans="1:5" s="8" customFormat="1" ht="17" x14ac:dyDescent="0.2">
      <c r="A377" s="66"/>
      <c r="B377" s="61" t="s">
        <v>238</v>
      </c>
      <c r="C377" s="48" t="s">
        <v>295</v>
      </c>
      <c r="D377" s="72">
        <f>400*120</f>
        <v>48000</v>
      </c>
      <c r="E377" s="95"/>
    </row>
    <row r="378" spans="1:5" s="8" customFormat="1" ht="17" x14ac:dyDescent="0.2">
      <c r="A378" s="66"/>
      <c r="B378" s="61" t="s">
        <v>239</v>
      </c>
      <c r="C378" s="48" t="s">
        <v>447</v>
      </c>
      <c r="D378" s="72">
        <f>1500*120</f>
        <v>180000</v>
      </c>
      <c r="E378" s="95"/>
    </row>
    <row r="379" spans="1:5" s="8" customFormat="1" ht="17" x14ac:dyDescent="0.2">
      <c r="A379" s="66"/>
      <c r="B379" s="61" t="s">
        <v>444</v>
      </c>
      <c r="C379" s="48" t="s">
        <v>293</v>
      </c>
      <c r="D379" s="72">
        <f>600*120</f>
        <v>72000</v>
      </c>
      <c r="E379" s="95"/>
    </row>
    <row r="380" spans="1:5" s="8" customFormat="1" ht="17" x14ac:dyDescent="0.2">
      <c r="A380" s="66"/>
      <c r="B380" s="61" t="s">
        <v>39</v>
      </c>
      <c r="C380" s="48" t="s">
        <v>452</v>
      </c>
      <c r="D380" s="72">
        <f>250*120</f>
        <v>30000</v>
      </c>
      <c r="E380" s="95"/>
    </row>
    <row r="381" spans="1:5" s="8" customFormat="1" ht="17" x14ac:dyDescent="0.2">
      <c r="A381" s="66"/>
      <c r="B381" s="61" t="s">
        <v>27</v>
      </c>
      <c r="C381" s="48" t="s">
        <v>299</v>
      </c>
      <c r="D381" s="72">
        <f>2500*120</f>
        <v>300000</v>
      </c>
      <c r="E381" s="95"/>
    </row>
    <row r="382" spans="1:5" s="8" customFormat="1" ht="17" x14ac:dyDescent="0.2">
      <c r="A382" s="66"/>
      <c r="B382" s="106" t="s">
        <v>0</v>
      </c>
      <c r="C382" s="106"/>
      <c r="D382" s="82"/>
      <c r="E382" s="82">
        <f>SUM(D376:D381)</f>
        <v>942000</v>
      </c>
    </row>
    <row r="383" spans="1:5" s="8" customFormat="1" ht="16" x14ac:dyDescent="0.2">
      <c r="A383" s="66"/>
      <c r="B383" s="106"/>
      <c r="C383" s="106"/>
      <c r="D383" s="82"/>
      <c r="E383" s="82"/>
    </row>
    <row r="384" spans="1:5" s="8" customFormat="1" ht="16" x14ac:dyDescent="0.2">
      <c r="A384" s="66" t="s">
        <v>435</v>
      </c>
      <c r="B384" s="66" t="s">
        <v>453</v>
      </c>
      <c r="C384" s="74"/>
      <c r="D384" s="72"/>
      <c r="E384" s="95"/>
    </row>
    <row r="385" spans="1:5" s="8" customFormat="1" ht="16" x14ac:dyDescent="0.2">
      <c r="A385" s="66"/>
      <c r="B385" s="61" t="s">
        <v>463</v>
      </c>
      <c r="C385" s="74"/>
      <c r="D385" s="72"/>
      <c r="E385" s="95"/>
    </row>
    <row r="386" spans="1:5" s="8" customFormat="1" ht="17" x14ac:dyDescent="0.2">
      <c r="A386" s="66"/>
      <c r="B386" s="61" t="s">
        <v>179</v>
      </c>
      <c r="C386" s="74" t="s">
        <v>447</v>
      </c>
      <c r="D386" s="72">
        <f>1500*120</f>
        <v>180000</v>
      </c>
      <c r="E386" s="95"/>
    </row>
    <row r="387" spans="1:5" s="8" customFormat="1" ht="15" customHeight="1" x14ac:dyDescent="0.2">
      <c r="A387" s="66"/>
      <c r="B387" s="61" t="s">
        <v>180</v>
      </c>
      <c r="C387" s="74" t="s">
        <v>455</v>
      </c>
      <c r="D387" s="72">
        <f>1700*120</f>
        <v>204000</v>
      </c>
      <c r="E387" s="95"/>
    </row>
    <row r="388" spans="1:5" s="8" customFormat="1" ht="17" x14ac:dyDescent="0.2">
      <c r="A388" s="66"/>
      <c r="B388" s="61" t="s">
        <v>454</v>
      </c>
      <c r="C388" s="74" t="s">
        <v>300</v>
      </c>
      <c r="D388" s="72">
        <f>800*120</f>
        <v>96000</v>
      </c>
      <c r="E388" s="95"/>
    </row>
    <row r="389" spans="1:5" s="8" customFormat="1" ht="17" x14ac:dyDescent="0.2">
      <c r="A389" s="66"/>
      <c r="B389" s="61" t="s">
        <v>27</v>
      </c>
      <c r="C389" s="74" t="s">
        <v>301</v>
      </c>
      <c r="D389" s="72">
        <f>3000*120</f>
        <v>360000</v>
      </c>
      <c r="E389" s="95"/>
    </row>
    <row r="390" spans="1:5" s="8" customFormat="1" ht="17" x14ac:dyDescent="0.2">
      <c r="A390" s="66"/>
      <c r="B390" s="106" t="s">
        <v>0</v>
      </c>
      <c r="C390" s="106"/>
      <c r="D390" s="82"/>
      <c r="E390" s="82">
        <f>SUM(D386:D389)</f>
        <v>840000</v>
      </c>
    </row>
    <row r="391" spans="1:5" s="8" customFormat="1" ht="16" x14ac:dyDescent="0.2">
      <c r="A391" s="66"/>
      <c r="B391" s="106"/>
      <c r="C391" s="106"/>
      <c r="D391" s="82"/>
      <c r="E391" s="82"/>
    </row>
    <row r="392" spans="1:5" s="8" customFormat="1" ht="16" x14ac:dyDescent="0.2">
      <c r="A392" s="66"/>
      <c r="B392" s="106"/>
      <c r="C392" s="106"/>
      <c r="D392" s="82"/>
      <c r="E392" s="82"/>
    </row>
    <row r="393" spans="1:5" s="8" customFormat="1" ht="16" x14ac:dyDescent="0.2">
      <c r="A393" s="66" t="s">
        <v>436</v>
      </c>
      <c r="B393" s="66" t="s">
        <v>456</v>
      </c>
      <c r="C393" s="74"/>
      <c r="D393" s="72"/>
      <c r="E393" s="95"/>
    </row>
    <row r="394" spans="1:5" s="8" customFormat="1" ht="16" x14ac:dyDescent="0.2">
      <c r="A394" s="66"/>
      <c r="B394" s="61" t="s">
        <v>463</v>
      </c>
      <c r="C394" s="74"/>
      <c r="D394" s="72"/>
      <c r="E394" s="95"/>
    </row>
    <row r="395" spans="1:5" s="8" customFormat="1" ht="17" x14ac:dyDescent="0.2">
      <c r="A395" s="66"/>
      <c r="B395" s="61" t="s">
        <v>457</v>
      </c>
      <c r="C395" s="74" t="s">
        <v>447</v>
      </c>
      <c r="D395" s="72">
        <f>1500*120</f>
        <v>180000</v>
      </c>
      <c r="E395" s="95"/>
    </row>
    <row r="396" spans="1:5" s="8" customFormat="1" ht="17" x14ac:dyDescent="0.2">
      <c r="A396" s="66"/>
      <c r="B396" s="61" t="s">
        <v>180</v>
      </c>
      <c r="C396" s="74" t="s">
        <v>306</v>
      </c>
      <c r="D396" s="72">
        <f>1200*120</f>
        <v>144000</v>
      </c>
      <c r="E396" s="95"/>
    </row>
    <row r="397" spans="1:5" s="8" customFormat="1" ht="17" x14ac:dyDescent="0.2">
      <c r="A397" s="66"/>
      <c r="B397" s="61" t="s">
        <v>179</v>
      </c>
      <c r="C397" s="74" t="s">
        <v>458</v>
      </c>
      <c r="D397" s="72">
        <f>700*120</f>
        <v>84000</v>
      </c>
      <c r="E397" s="95"/>
    </row>
    <row r="398" spans="1:5" s="8" customFormat="1" ht="17" x14ac:dyDescent="0.2">
      <c r="A398" s="66"/>
      <c r="B398" s="61" t="s">
        <v>27</v>
      </c>
      <c r="C398" s="74" t="s">
        <v>299</v>
      </c>
      <c r="D398" s="72">
        <f>2500*120</f>
        <v>300000</v>
      </c>
      <c r="E398" s="95"/>
    </row>
    <row r="399" spans="1:5" s="8" customFormat="1" ht="17" x14ac:dyDescent="0.2">
      <c r="A399" s="66"/>
      <c r="B399" s="106" t="s">
        <v>0</v>
      </c>
      <c r="C399" s="106"/>
      <c r="D399" s="82"/>
      <c r="E399" s="82">
        <f>SUM(D395:D398)</f>
        <v>708000</v>
      </c>
    </row>
    <row r="400" spans="1:5" s="8" customFormat="1" ht="16" x14ac:dyDescent="0.2">
      <c r="A400" s="66"/>
      <c r="B400" s="106"/>
      <c r="C400" s="106"/>
      <c r="D400" s="82"/>
      <c r="E400" s="82"/>
    </row>
    <row r="401" spans="1:5" s="8" customFormat="1" ht="16" x14ac:dyDescent="0.2">
      <c r="A401" s="66" t="s">
        <v>437</v>
      </c>
      <c r="B401" s="66" t="s">
        <v>459</v>
      </c>
      <c r="C401" s="74"/>
      <c r="D401" s="72"/>
      <c r="E401" s="95"/>
    </row>
    <row r="402" spans="1:5" s="8" customFormat="1" ht="16" x14ac:dyDescent="0.2">
      <c r="A402" s="66"/>
      <c r="B402" s="61" t="s">
        <v>463</v>
      </c>
      <c r="C402" s="74"/>
      <c r="D402" s="72"/>
      <c r="E402" s="95"/>
    </row>
    <row r="403" spans="1:5" s="8" customFormat="1" ht="17" x14ac:dyDescent="0.2">
      <c r="A403" s="66"/>
      <c r="B403" s="61" t="s">
        <v>498</v>
      </c>
      <c r="C403" s="74" t="s">
        <v>447</v>
      </c>
      <c r="D403" s="72">
        <f>1500*120</f>
        <v>180000</v>
      </c>
      <c r="E403" s="95"/>
    </row>
    <row r="404" spans="1:5" s="8" customFormat="1" ht="17" x14ac:dyDescent="0.2">
      <c r="A404" s="66"/>
      <c r="B404" s="61" t="s">
        <v>133</v>
      </c>
      <c r="C404" s="74" t="s">
        <v>447</v>
      </c>
      <c r="D404" s="72">
        <f>1500*120</f>
        <v>180000</v>
      </c>
      <c r="E404" s="95"/>
    </row>
    <row r="405" spans="1:5" s="8" customFormat="1" ht="17" x14ac:dyDescent="0.2">
      <c r="A405" s="66"/>
      <c r="B405" s="61" t="s">
        <v>179</v>
      </c>
      <c r="C405" s="74" t="s">
        <v>293</v>
      </c>
      <c r="D405" s="72">
        <f>600*120</f>
        <v>72000</v>
      </c>
      <c r="E405" s="95"/>
    </row>
    <row r="406" spans="1:5" s="8" customFormat="1" ht="17" x14ac:dyDescent="0.2">
      <c r="A406" s="66"/>
      <c r="B406" s="61" t="s">
        <v>180</v>
      </c>
      <c r="C406" s="74" t="s">
        <v>302</v>
      </c>
      <c r="D406" s="72">
        <f>2000*120</f>
        <v>240000</v>
      </c>
      <c r="E406" s="95"/>
    </row>
    <row r="407" spans="1:5" s="8" customFormat="1" ht="17" x14ac:dyDescent="0.2">
      <c r="A407" s="66"/>
      <c r="B407" s="61" t="s">
        <v>460</v>
      </c>
      <c r="C407" s="74" t="s">
        <v>300</v>
      </c>
      <c r="D407" s="72">
        <f>800*120</f>
        <v>96000</v>
      </c>
      <c r="E407" s="95"/>
    </row>
    <row r="408" spans="1:5" s="8" customFormat="1" ht="17" x14ac:dyDescent="0.2">
      <c r="A408" s="66"/>
      <c r="B408" s="61" t="s">
        <v>27</v>
      </c>
      <c r="C408" s="74" t="s">
        <v>305</v>
      </c>
      <c r="D408" s="72">
        <f>2500*120</f>
        <v>300000</v>
      </c>
      <c r="E408" s="95"/>
    </row>
    <row r="409" spans="1:5" s="8" customFormat="1" ht="17" x14ac:dyDescent="0.2">
      <c r="A409" s="66"/>
      <c r="B409" s="106" t="s">
        <v>0</v>
      </c>
      <c r="C409" s="106"/>
      <c r="D409" s="82"/>
      <c r="E409" s="82">
        <f>SUM(D403:D408)</f>
        <v>1068000</v>
      </c>
    </row>
    <row r="410" spans="1:5" s="8" customFormat="1" ht="16" x14ac:dyDescent="0.2">
      <c r="A410" s="66"/>
      <c r="B410" s="106"/>
      <c r="C410" s="106"/>
      <c r="D410" s="82"/>
      <c r="E410" s="82"/>
    </row>
    <row r="411" spans="1:5" s="8" customFormat="1" ht="17" x14ac:dyDescent="0.2">
      <c r="A411" s="66" t="s">
        <v>438</v>
      </c>
      <c r="B411" s="114" t="s">
        <v>499</v>
      </c>
      <c r="C411" s="106"/>
      <c r="D411" s="82"/>
      <c r="E411" s="82"/>
    </row>
    <row r="412" spans="1:5" s="8" customFormat="1" ht="17" x14ac:dyDescent="0.2">
      <c r="A412" s="66"/>
      <c r="B412" s="115" t="s">
        <v>466</v>
      </c>
      <c r="C412" s="106"/>
      <c r="D412" s="82"/>
      <c r="E412" s="82"/>
    </row>
    <row r="413" spans="1:5" s="8" customFormat="1" ht="17" x14ac:dyDescent="0.2">
      <c r="A413" s="66"/>
      <c r="B413" s="115" t="s">
        <v>467</v>
      </c>
      <c r="C413" s="115" t="s">
        <v>447</v>
      </c>
      <c r="D413" s="72">
        <v>180000</v>
      </c>
      <c r="E413" s="82"/>
    </row>
    <row r="414" spans="1:5" s="8" customFormat="1" ht="16" x14ac:dyDescent="0.2">
      <c r="A414" s="66"/>
      <c r="B414" s="106"/>
      <c r="C414" s="106"/>
      <c r="D414" s="82"/>
      <c r="E414" s="82">
        <f>+D413</f>
        <v>180000</v>
      </c>
    </row>
    <row r="415" spans="1:5" s="8" customFormat="1" ht="16" x14ac:dyDescent="0.2">
      <c r="A415" s="66"/>
      <c r="B415" s="106"/>
      <c r="C415" s="106"/>
      <c r="D415" s="82"/>
      <c r="E415" s="82"/>
    </row>
    <row r="416" spans="1:5" s="8" customFormat="1" ht="17" x14ac:dyDescent="0.2">
      <c r="A416" s="66" t="s">
        <v>439</v>
      </c>
      <c r="B416" s="114" t="s">
        <v>482</v>
      </c>
      <c r="C416" s="106"/>
      <c r="D416" s="82"/>
      <c r="E416" s="82"/>
    </row>
    <row r="417" spans="1:5" s="113" customFormat="1" ht="16" x14ac:dyDescent="0.2">
      <c r="A417" s="117"/>
      <c r="B417" s="112" t="s">
        <v>465</v>
      </c>
      <c r="C417" s="118"/>
      <c r="D417" s="119"/>
      <c r="E417" s="167"/>
    </row>
    <row r="418" spans="1:5" s="113" customFormat="1" ht="17" x14ac:dyDescent="0.2">
      <c r="A418" s="117"/>
      <c r="B418" s="112" t="s">
        <v>103</v>
      </c>
      <c r="C418" s="118" t="s">
        <v>445</v>
      </c>
      <c r="D418" s="119">
        <f>4000*120</f>
        <v>480000</v>
      </c>
      <c r="E418" s="176"/>
    </row>
    <row r="419" spans="1:5" s="8" customFormat="1" ht="17" x14ac:dyDescent="0.2">
      <c r="A419" s="66"/>
      <c r="B419" s="61" t="s">
        <v>26</v>
      </c>
      <c r="C419" s="118" t="s">
        <v>530</v>
      </c>
      <c r="D419" s="72">
        <v>395000</v>
      </c>
      <c r="E419" s="95"/>
    </row>
    <row r="420" spans="1:5" s="8" customFormat="1" ht="17" x14ac:dyDescent="0.2">
      <c r="A420" s="66"/>
      <c r="B420" s="61" t="s">
        <v>241</v>
      </c>
      <c r="C420" s="74" t="s">
        <v>300</v>
      </c>
      <c r="D420" s="72">
        <f>800*120</f>
        <v>96000</v>
      </c>
      <c r="E420" s="95"/>
    </row>
    <row r="421" spans="1:5" s="8" customFormat="1" ht="17" x14ac:dyDescent="0.2">
      <c r="A421" s="66"/>
      <c r="B421" s="61" t="s">
        <v>132</v>
      </c>
      <c r="C421" s="74" t="s">
        <v>447</v>
      </c>
      <c r="D421" s="72">
        <f>1500*120</f>
        <v>180000</v>
      </c>
      <c r="E421" s="95"/>
    </row>
    <row r="422" spans="1:5" s="8" customFormat="1" ht="17" x14ac:dyDescent="0.2">
      <c r="A422" s="66"/>
      <c r="B422" s="61" t="s">
        <v>27</v>
      </c>
      <c r="C422" s="74" t="s">
        <v>301</v>
      </c>
      <c r="D422" s="72">
        <f>3000*120</f>
        <v>360000</v>
      </c>
      <c r="E422" s="95"/>
    </row>
    <row r="423" spans="1:5" s="8" customFormat="1" ht="17" x14ac:dyDescent="0.2">
      <c r="A423" s="66"/>
      <c r="B423" s="106" t="s">
        <v>0</v>
      </c>
      <c r="C423" s="106"/>
      <c r="D423" s="82"/>
      <c r="E423" s="82">
        <f>SUM(D418:D422)</f>
        <v>1511000</v>
      </c>
    </row>
    <row r="424" spans="1:5" s="8" customFormat="1" ht="16" x14ac:dyDescent="0.2">
      <c r="A424" s="66"/>
      <c r="B424" s="106"/>
      <c r="C424" s="106"/>
      <c r="D424" s="82"/>
      <c r="E424" s="82"/>
    </row>
    <row r="425" spans="1:5" s="8" customFormat="1" ht="17" x14ac:dyDescent="0.2">
      <c r="A425" s="66" t="s">
        <v>440</v>
      </c>
      <c r="B425" s="114" t="s">
        <v>472</v>
      </c>
      <c r="C425" s="106"/>
      <c r="D425" s="82"/>
      <c r="E425" s="82"/>
    </row>
    <row r="426" spans="1:5" s="8" customFormat="1" ht="17" x14ac:dyDescent="0.2">
      <c r="A426" s="66"/>
      <c r="B426" s="115" t="s">
        <v>467</v>
      </c>
      <c r="C426" s="115" t="s">
        <v>508</v>
      </c>
      <c r="D426" s="82">
        <v>700000</v>
      </c>
      <c r="E426" s="82"/>
    </row>
    <row r="427" spans="1:5" s="8" customFormat="1" ht="17" x14ac:dyDescent="0.2">
      <c r="A427" s="66"/>
      <c r="B427" s="106" t="s">
        <v>0</v>
      </c>
      <c r="C427" s="106"/>
      <c r="D427" s="82"/>
      <c r="E427" s="82">
        <f>+D426</f>
        <v>700000</v>
      </c>
    </row>
    <row r="428" spans="1:5" s="8" customFormat="1" ht="16" x14ac:dyDescent="0.2">
      <c r="A428" s="66"/>
      <c r="B428" s="106"/>
      <c r="C428" s="106"/>
      <c r="D428" s="82"/>
      <c r="E428" s="82"/>
    </row>
    <row r="429" spans="1:5" s="8" customFormat="1" ht="16" x14ac:dyDescent="0.2">
      <c r="A429" s="66" t="s">
        <v>441</v>
      </c>
      <c r="B429" s="66" t="s">
        <v>242</v>
      </c>
      <c r="C429" s="74"/>
      <c r="D429" s="72"/>
      <c r="E429" s="95"/>
    </row>
    <row r="430" spans="1:5" s="8" customFormat="1" ht="17" x14ac:dyDescent="0.2">
      <c r="A430" s="66"/>
      <c r="B430" s="61" t="s">
        <v>471</v>
      </c>
      <c r="C430" s="74" t="s">
        <v>340</v>
      </c>
      <c r="D430" s="72">
        <f>500*120</f>
        <v>60000</v>
      </c>
      <c r="E430" s="95"/>
    </row>
    <row r="431" spans="1:5" s="8" customFormat="1" ht="17" x14ac:dyDescent="0.2">
      <c r="A431" s="66"/>
      <c r="B431" s="61" t="s">
        <v>497</v>
      </c>
      <c r="C431" s="74" t="s">
        <v>340</v>
      </c>
      <c r="D431" s="72">
        <f t="shared" ref="D431:D432" si="0">500*120</f>
        <v>60000</v>
      </c>
      <c r="E431" s="95"/>
    </row>
    <row r="432" spans="1:5" s="8" customFormat="1" ht="17" x14ac:dyDescent="0.2">
      <c r="A432" s="66"/>
      <c r="B432" s="61" t="s">
        <v>470</v>
      </c>
      <c r="C432" s="74" t="s">
        <v>340</v>
      </c>
      <c r="D432" s="72">
        <f t="shared" si="0"/>
        <v>60000</v>
      </c>
      <c r="E432" s="95"/>
    </row>
    <row r="433" spans="1:77" s="8" customFormat="1" ht="17" x14ac:dyDescent="0.2">
      <c r="A433" s="66"/>
      <c r="B433" s="106" t="s">
        <v>0</v>
      </c>
      <c r="C433" s="74"/>
      <c r="D433" s="82"/>
      <c r="E433" s="82">
        <f>SUM(D430:D432)</f>
        <v>180000</v>
      </c>
    </row>
    <row r="434" spans="1:77" s="8" customFormat="1" ht="16" x14ac:dyDescent="0.2">
      <c r="A434" s="66"/>
      <c r="B434" s="106"/>
      <c r="C434" s="74"/>
      <c r="D434" s="82"/>
      <c r="E434" s="82"/>
    </row>
    <row r="435" spans="1:77" s="8" customFormat="1" ht="16" x14ac:dyDescent="0.2">
      <c r="A435" s="66" t="s">
        <v>468</v>
      </c>
      <c r="B435" s="66" t="s">
        <v>442</v>
      </c>
      <c r="C435" s="74"/>
      <c r="D435" s="72"/>
      <c r="E435" s="95"/>
    </row>
    <row r="436" spans="1:77" s="8" customFormat="1" ht="17" x14ac:dyDescent="0.2">
      <c r="A436" s="66"/>
      <c r="B436" s="61" t="s">
        <v>41</v>
      </c>
      <c r="C436" s="74" t="s">
        <v>295</v>
      </c>
      <c r="D436" s="72">
        <f>400*120</f>
        <v>48000</v>
      </c>
      <c r="E436" s="95"/>
    </row>
    <row r="437" spans="1:77" s="8" customFormat="1" ht="17" x14ac:dyDescent="0.2">
      <c r="A437" s="66"/>
      <c r="B437" s="61" t="s">
        <v>42</v>
      </c>
      <c r="C437" s="48" t="s">
        <v>297</v>
      </c>
      <c r="D437" s="72">
        <f>2200*120</f>
        <v>264000</v>
      </c>
      <c r="E437" s="95"/>
    </row>
    <row r="438" spans="1:77" s="8" customFormat="1" ht="17" x14ac:dyDescent="0.2">
      <c r="A438" s="66"/>
      <c r="B438" s="61" t="s">
        <v>469</v>
      </c>
      <c r="C438" s="48" t="s">
        <v>286</v>
      </c>
      <c r="D438" s="72">
        <f>500*120</f>
        <v>60000</v>
      </c>
      <c r="E438" s="95"/>
    </row>
    <row r="439" spans="1:77" s="4" customFormat="1" ht="17" x14ac:dyDescent="0.2">
      <c r="A439" s="28"/>
      <c r="B439" s="62" t="s">
        <v>0</v>
      </c>
      <c r="C439" s="30"/>
      <c r="D439" s="116"/>
      <c r="E439" s="46">
        <f>SUM(D436:D438)</f>
        <v>372000</v>
      </c>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row>
    <row r="440" spans="1:77" ht="16" x14ac:dyDescent="0.2">
      <c r="A440" s="68"/>
      <c r="B440" s="198"/>
      <c r="C440" s="198"/>
      <c r="D440" s="198"/>
      <c r="E440" s="198"/>
      <c r="F440" s="3"/>
    </row>
    <row r="441" spans="1:77" ht="17" x14ac:dyDescent="0.2">
      <c r="A441" s="28"/>
      <c r="B441" s="34"/>
      <c r="C441" s="41" t="s">
        <v>43</v>
      </c>
      <c r="D441" s="155"/>
      <c r="E441" s="156">
        <f>+E353+E362+E372+E382+E390+E399+E409+E414+E423+E427+E433+E439</f>
        <v>10660000</v>
      </c>
      <c r="F441" s="3"/>
    </row>
    <row r="442" spans="1:77" s="4" customFormat="1" ht="18" customHeight="1" x14ac:dyDescent="0.2">
      <c r="A442" s="28"/>
      <c r="B442" s="34"/>
      <c r="C442" s="120" t="s">
        <v>100</v>
      </c>
      <c r="D442" s="168"/>
      <c r="E442" s="168">
        <f>E37+E210+E342+E441</f>
        <v>1034815000</v>
      </c>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row>
    <row r="443" spans="1:77" ht="15.5" customHeight="1" x14ac:dyDescent="0.2">
      <c r="A443" s="68"/>
      <c r="B443" s="197"/>
      <c r="C443" s="197"/>
      <c r="D443" s="197"/>
      <c r="E443" s="197"/>
      <c r="F443" s="3"/>
    </row>
    <row r="444" spans="1:77" ht="16" x14ac:dyDescent="0.2">
      <c r="A444" s="28"/>
      <c r="B444" s="28" t="s">
        <v>44</v>
      </c>
      <c r="C444" s="29"/>
      <c r="D444" s="146"/>
      <c r="E444" s="146"/>
      <c r="F444" s="3"/>
    </row>
    <row r="445" spans="1:77" ht="30" customHeight="1" x14ac:dyDescent="0.2">
      <c r="A445" s="68"/>
      <c r="B445" s="121" t="s">
        <v>45</v>
      </c>
      <c r="C445" s="122" t="s">
        <v>46</v>
      </c>
      <c r="D445" s="169"/>
      <c r="E445" s="122" t="s">
        <v>47</v>
      </c>
      <c r="F445" s="3"/>
    </row>
    <row r="446" spans="1:77" ht="16" x14ac:dyDescent="0.2">
      <c r="A446" s="28"/>
      <c r="B446" s="123"/>
      <c r="C446" s="123"/>
      <c r="D446" s="124"/>
      <c r="E446" s="146"/>
      <c r="F446" s="3"/>
    </row>
    <row r="447" spans="1:77" ht="17" x14ac:dyDescent="0.2">
      <c r="A447" s="28"/>
      <c r="B447" s="125" t="s">
        <v>48</v>
      </c>
      <c r="C447" s="126"/>
      <c r="D447" s="126"/>
      <c r="E447" s="158"/>
      <c r="F447" s="3"/>
    </row>
    <row r="448" spans="1:77" ht="17" x14ac:dyDescent="0.2">
      <c r="A448" s="91"/>
      <c r="B448" s="127" t="s">
        <v>49</v>
      </c>
      <c r="C448" s="128">
        <v>12000000</v>
      </c>
      <c r="D448" s="128"/>
      <c r="E448" s="148"/>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row>
    <row r="449" spans="1:77" ht="17" x14ac:dyDescent="0.2">
      <c r="A449" s="91"/>
      <c r="B449" s="125" t="s">
        <v>50</v>
      </c>
      <c r="C449" s="129"/>
      <c r="D449" s="129"/>
      <c r="E449" s="148"/>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row>
    <row r="450" spans="1:77" ht="17" x14ac:dyDescent="0.2">
      <c r="A450" s="91"/>
      <c r="B450" s="130" t="s">
        <v>51</v>
      </c>
      <c r="C450" s="128">
        <v>1400000</v>
      </c>
      <c r="D450" s="128"/>
      <c r="E450" s="148"/>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row>
    <row r="451" spans="1:77" ht="17" x14ac:dyDescent="0.2">
      <c r="A451" s="91"/>
      <c r="B451" s="130" t="s">
        <v>52</v>
      </c>
      <c r="C451" s="128">
        <v>600000</v>
      </c>
      <c r="D451" s="128"/>
      <c r="E451" s="148"/>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row>
    <row r="452" spans="1:77" ht="16" x14ac:dyDescent="0.2">
      <c r="A452" s="91"/>
      <c r="B452" s="131" t="s">
        <v>53</v>
      </c>
      <c r="C452" s="128"/>
      <c r="D452" s="128"/>
      <c r="E452" s="148"/>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row>
    <row r="453" spans="1:77" ht="16" x14ac:dyDescent="0.2">
      <c r="A453" s="91"/>
      <c r="B453" s="132" t="s">
        <v>112</v>
      </c>
      <c r="C453" s="128">
        <v>300000</v>
      </c>
      <c r="D453" s="128"/>
      <c r="E453" s="148"/>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row>
    <row r="454" spans="1:77" s="17" customFormat="1" ht="16" x14ac:dyDescent="0.2">
      <c r="A454" s="91"/>
      <c r="B454" s="132" t="s">
        <v>139</v>
      </c>
      <c r="C454" s="128"/>
      <c r="D454" s="128"/>
      <c r="E454" s="148"/>
    </row>
    <row r="455" spans="1:77" ht="17" x14ac:dyDescent="0.2">
      <c r="A455" s="91"/>
      <c r="B455" s="133" t="s">
        <v>281</v>
      </c>
      <c r="C455" s="141">
        <v>200000</v>
      </c>
      <c r="D455" s="128"/>
      <c r="E455" s="148"/>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row>
    <row r="456" spans="1:77" ht="17" x14ac:dyDescent="0.2">
      <c r="A456" s="91"/>
      <c r="B456" s="125" t="s">
        <v>54</v>
      </c>
      <c r="C456" s="134"/>
      <c r="D456" s="134"/>
      <c r="E456" s="148"/>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row>
    <row r="457" spans="1:77" ht="17" x14ac:dyDescent="0.2">
      <c r="A457" s="91"/>
      <c r="B457" s="130" t="s">
        <v>54</v>
      </c>
      <c r="C457" s="128">
        <v>400000</v>
      </c>
      <c r="D457" s="128"/>
      <c r="E457" s="148"/>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row>
    <row r="458" spans="1:77" ht="17" x14ac:dyDescent="0.2">
      <c r="A458" s="91"/>
      <c r="B458" s="125" t="s">
        <v>55</v>
      </c>
      <c r="C458" s="134"/>
      <c r="D458" s="134"/>
      <c r="E458" s="148"/>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row>
    <row r="459" spans="1:77" ht="17" x14ac:dyDescent="0.2">
      <c r="A459" s="91"/>
      <c r="B459" s="130" t="s">
        <v>56</v>
      </c>
      <c r="C459" s="128">
        <v>400000</v>
      </c>
      <c r="D459" s="128"/>
      <c r="E459" s="148"/>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row>
    <row r="460" spans="1:77" ht="17" x14ac:dyDescent="0.2">
      <c r="A460" s="91"/>
      <c r="B460" s="125" t="s">
        <v>57</v>
      </c>
      <c r="C460" s="134"/>
      <c r="D460" s="134"/>
      <c r="E460" s="148"/>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row>
    <row r="461" spans="1:77" ht="17" x14ac:dyDescent="0.2">
      <c r="A461" s="91"/>
      <c r="B461" s="130" t="s">
        <v>58</v>
      </c>
      <c r="C461" s="128">
        <v>400000</v>
      </c>
      <c r="D461" s="128"/>
      <c r="E461" s="148"/>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row>
    <row r="462" spans="1:77" ht="16" x14ac:dyDescent="0.2">
      <c r="A462" s="91"/>
      <c r="B462" s="132" t="s">
        <v>59</v>
      </c>
      <c r="C462" s="128">
        <v>600000</v>
      </c>
      <c r="D462" s="128"/>
      <c r="E462" s="148"/>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row>
    <row r="463" spans="1:77" ht="16" x14ac:dyDescent="0.2">
      <c r="A463" s="91"/>
      <c r="B463" s="132" t="s">
        <v>60</v>
      </c>
      <c r="C463" s="128">
        <v>300000</v>
      </c>
      <c r="D463" s="128"/>
      <c r="E463" s="148"/>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row>
    <row r="464" spans="1:77" ht="16" x14ac:dyDescent="0.2">
      <c r="A464" s="91"/>
      <c r="B464" s="132" t="s">
        <v>61</v>
      </c>
      <c r="C464" s="128">
        <v>800000</v>
      </c>
      <c r="D464" s="128"/>
      <c r="E464" s="148"/>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row>
    <row r="465" spans="1:77" ht="16" x14ac:dyDescent="0.2">
      <c r="A465" s="91"/>
      <c r="B465" s="132" t="s">
        <v>62</v>
      </c>
      <c r="C465" s="128">
        <v>300000</v>
      </c>
      <c r="D465" s="128"/>
      <c r="E465" s="148"/>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row>
    <row r="466" spans="1:77" ht="16" x14ac:dyDescent="0.2">
      <c r="A466" s="91"/>
      <c r="B466" s="132" t="s">
        <v>63</v>
      </c>
      <c r="C466" s="128">
        <v>4000000</v>
      </c>
      <c r="D466" s="128"/>
      <c r="E466" s="148"/>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row>
    <row r="467" spans="1:77" ht="16" x14ac:dyDescent="0.2">
      <c r="A467" s="91"/>
      <c r="B467" s="132" t="s">
        <v>64</v>
      </c>
      <c r="C467" s="128">
        <v>300000</v>
      </c>
      <c r="D467" s="128"/>
      <c r="E467" s="148"/>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row>
    <row r="468" spans="1:77" ht="17" x14ac:dyDescent="0.2">
      <c r="A468" s="91"/>
      <c r="B468" s="125" t="s">
        <v>65</v>
      </c>
      <c r="C468" s="135"/>
      <c r="D468" s="134"/>
      <c r="E468" s="148"/>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row>
    <row r="469" spans="1:77" ht="17" x14ac:dyDescent="0.2">
      <c r="A469" s="91"/>
      <c r="B469" s="130" t="s">
        <v>66</v>
      </c>
      <c r="C469" s="128">
        <v>1000000</v>
      </c>
      <c r="D469" s="128"/>
      <c r="E469" s="148"/>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row>
    <row r="470" spans="1:77" ht="17" x14ac:dyDescent="0.2">
      <c r="A470" s="91"/>
      <c r="B470" s="130" t="s">
        <v>67</v>
      </c>
      <c r="C470" s="128">
        <v>1500000</v>
      </c>
      <c r="D470" s="128"/>
      <c r="E470" s="148"/>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row>
    <row r="471" spans="1:77" ht="17" x14ac:dyDescent="0.2">
      <c r="A471" s="91"/>
      <c r="B471" s="130" t="s">
        <v>68</v>
      </c>
      <c r="C471" s="128">
        <v>300000</v>
      </c>
      <c r="D471" s="128"/>
      <c r="E471" s="148"/>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row>
    <row r="472" spans="1:77" ht="17" x14ac:dyDescent="0.2">
      <c r="A472" s="91"/>
      <c r="B472" s="130" t="s">
        <v>69</v>
      </c>
      <c r="C472" s="128">
        <v>200000</v>
      </c>
      <c r="D472" s="128"/>
      <c r="E472" s="148"/>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row>
    <row r="473" spans="1:77" ht="17" x14ac:dyDescent="0.2">
      <c r="A473" s="91"/>
      <c r="B473" s="125" t="s">
        <v>70</v>
      </c>
      <c r="C473" s="134"/>
      <c r="D473" s="134"/>
      <c r="E473" s="148"/>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row>
    <row r="474" spans="1:77" ht="16" x14ac:dyDescent="0.2">
      <c r="A474" s="91"/>
      <c r="B474" s="132" t="s">
        <v>71</v>
      </c>
      <c r="C474" s="128">
        <v>1500000</v>
      </c>
      <c r="D474" s="128"/>
      <c r="E474" s="148"/>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row>
    <row r="475" spans="1:77" ht="16" x14ac:dyDescent="0.2">
      <c r="A475" s="91"/>
      <c r="B475" s="132" t="s">
        <v>72</v>
      </c>
      <c r="C475" s="128">
        <v>3300000</v>
      </c>
      <c r="D475" s="128"/>
      <c r="E475" s="148"/>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row>
    <row r="476" spans="1:77" ht="17" x14ac:dyDescent="0.2">
      <c r="A476" s="91"/>
      <c r="B476" s="130" t="s">
        <v>73</v>
      </c>
      <c r="C476" s="128">
        <v>1000000</v>
      </c>
      <c r="D476" s="128"/>
      <c r="E476" s="148"/>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row>
    <row r="477" spans="1:77" ht="16" x14ac:dyDescent="0.2">
      <c r="A477" s="91"/>
      <c r="B477" s="132" t="s">
        <v>74</v>
      </c>
      <c r="C477" s="128">
        <v>3500000</v>
      </c>
      <c r="D477" s="128"/>
      <c r="E477" s="148"/>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row>
    <row r="478" spans="1:77" ht="16" x14ac:dyDescent="0.2">
      <c r="A478" s="91"/>
      <c r="B478" s="132" t="s">
        <v>75</v>
      </c>
      <c r="C478" s="128">
        <v>13700000</v>
      </c>
      <c r="D478" s="128"/>
      <c r="E478" s="148"/>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row>
    <row r="479" spans="1:77" ht="16" x14ac:dyDescent="0.2">
      <c r="A479" s="91"/>
      <c r="B479" s="132" t="s">
        <v>76</v>
      </c>
      <c r="C479" s="128">
        <v>2000000</v>
      </c>
      <c r="D479" s="128"/>
      <c r="E479" s="148"/>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row>
    <row r="480" spans="1:77" ht="16" x14ac:dyDescent="0.2">
      <c r="A480" s="91"/>
      <c r="B480" s="132" t="s">
        <v>77</v>
      </c>
      <c r="C480" s="128">
        <v>7000000</v>
      </c>
      <c r="D480" s="128"/>
      <c r="E480" s="148"/>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row>
    <row r="481" spans="1:77" ht="17" x14ac:dyDescent="0.2">
      <c r="A481" s="91"/>
      <c r="B481" s="125" t="s">
        <v>78</v>
      </c>
      <c r="C481" s="134"/>
      <c r="D481" s="134"/>
      <c r="E481" s="148"/>
      <c r="F481" s="3"/>
    </row>
    <row r="482" spans="1:77" ht="17" x14ac:dyDescent="0.2">
      <c r="A482" s="91"/>
      <c r="B482" s="130" t="s">
        <v>79</v>
      </c>
      <c r="C482" s="128"/>
      <c r="D482" s="128"/>
      <c r="E482" s="170"/>
      <c r="F482" s="3"/>
    </row>
    <row r="483" spans="1:77" ht="17" x14ac:dyDescent="0.2">
      <c r="A483" s="91"/>
      <c r="B483" s="125" t="s">
        <v>80</v>
      </c>
      <c r="C483" s="135"/>
      <c r="D483" s="134"/>
      <c r="E483" s="148"/>
      <c r="F483" s="3"/>
    </row>
    <row r="484" spans="1:77" ht="17" x14ac:dyDescent="0.2">
      <c r="A484" s="91"/>
      <c r="B484" s="130" t="s">
        <v>81</v>
      </c>
      <c r="C484" s="128">
        <v>400000</v>
      </c>
      <c r="D484" s="128"/>
      <c r="E484" s="148"/>
      <c r="F484" s="3"/>
    </row>
    <row r="485" spans="1:77" ht="17" x14ac:dyDescent="0.2">
      <c r="A485" s="91"/>
      <c r="B485" s="130" t="s">
        <v>82</v>
      </c>
      <c r="C485" s="128">
        <v>550000</v>
      </c>
      <c r="D485" s="128"/>
      <c r="E485" s="148"/>
      <c r="F485" s="3"/>
    </row>
    <row r="486" spans="1:77" ht="17" x14ac:dyDescent="0.2">
      <c r="A486" s="91"/>
      <c r="B486" s="125" t="s">
        <v>83</v>
      </c>
      <c r="C486" s="134"/>
      <c r="D486" s="134"/>
      <c r="E486" s="148"/>
      <c r="F486" s="3"/>
    </row>
    <row r="487" spans="1:77" ht="16" x14ac:dyDescent="0.2">
      <c r="A487" s="91"/>
      <c r="B487" s="132" t="s">
        <v>84</v>
      </c>
      <c r="C487" s="128">
        <v>700000</v>
      </c>
      <c r="D487" s="128"/>
      <c r="E487" s="148"/>
      <c r="F487" s="3"/>
    </row>
    <row r="488" spans="1:77" ht="17" x14ac:dyDescent="0.2">
      <c r="A488" s="91"/>
      <c r="B488" s="130" t="s">
        <v>85</v>
      </c>
      <c r="C488" s="128">
        <v>400000</v>
      </c>
      <c r="D488" s="128"/>
      <c r="E488" s="148"/>
      <c r="F488" s="3"/>
    </row>
    <row r="489" spans="1:77" ht="17" x14ac:dyDescent="0.2">
      <c r="A489" s="91"/>
      <c r="B489" s="130" t="s">
        <v>276</v>
      </c>
      <c r="C489" s="128">
        <v>0</v>
      </c>
      <c r="D489" s="128"/>
      <c r="E489" s="148"/>
      <c r="F489" s="3"/>
    </row>
    <row r="490" spans="1:77" ht="17" x14ac:dyDescent="0.2">
      <c r="A490" s="91"/>
      <c r="B490" s="130" t="s">
        <v>86</v>
      </c>
      <c r="C490" s="128">
        <v>0</v>
      </c>
      <c r="D490" s="128"/>
      <c r="E490" s="148"/>
      <c r="F490" s="3"/>
    </row>
    <row r="491" spans="1:77" s="17" customFormat="1" ht="17" x14ac:dyDescent="0.2">
      <c r="A491" s="91"/>
      <c r="B491" s="130" t="s">
        <v>87</v>
      </c>
      <c r="C491" s="128">
        <v>600000</v>
      </c>
      <c r="D491" s="128"/>
      <c r="E491" s="148"/>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row>
    <row r="492" spans="1:77" ht="17" x14ac:dyDescent="0.2">
      <c r="A492" s="91"/>
      <c r="B492" s="136" t="s">
        <v>88</v>
      </c>
      <c r="C492" s="128"/>
      <c r="D492" s="128"/>
      <c r="E492" s="148"/>
      <c r="F492" s="3"/>
    </row>
    <row r="493" spans="1:77" ht="17" x14ac:dyDescent="0.2">
      <c r="A493" s="91"/>
      <c r="B493" s="130" t="s">
        <v>89</v>
      </c>
      <c r="C493" s="128">
        <v>80000</v>
      </c>
      <c r="D493" s="128"/>
      <c r="E493" s="148"/>
      <c r="F493" s="3"/>
    </row>
    <row r="494" spans="1:77" ht="17" x14ac:dyDescent="0.2">
      <c r="A494" s="91"/>
      <c r="B494" s="136" t="s">
        <v>90</v>
      </c>
      <c r="C494" s="128"/>
      <c r="D494" s="128"/>
      <c r="E494" s="148"/>
      <c r="F494" s="3"/>
    </row>
    <row r="495" spans="1:77" s="7" customFormat="1" ht="17" x14ac:dyDescent="0.2">
      <c r="A495" s="91"/>
      <c r="B495" s="130" t="s">
        <v>91</v>
      </c>
      <c r="C495" s="128"/>
      <c r="D495" s="128"/>
      <c r="E495" s="148">
        <v>1000000</v>
      </c>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row>
    <row r="496" spans="1:77" s="17" customFormat="1" ht="17" x14ac:dyDescent="0.2">
      <c r="A496" s="91"/>
      <c r="B496" s="130" t="s">
        <v>277</v>
      </c>
      <c r="C496" s="128"/>
      <c r="D496" s="128"/>
      <c r="E496" s="148">
        <v>0</v>
      </c>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row>
    <row r="497" spans="1:77" ht="17" x14ac:dyDescent="0.2">
      <c r="A497" s="91"/>
      <c r="B497" s="136" t="s">
        <v>279</v>
      </c>
      <c r="C497" s="128"/>
      <c r="D497" s="128"/>
      <c r="E497" s="148">
        <v>12000000</v>
      </c>
      <c r="F497" s="3"/>
    </row>
    <row r="498" spans="1:77" ht="16" x14ac:dyDescent="0.2">
      <c r="A498" s="68"/>
      <c r="B498" s="137"/>
      <c r="C498" s="138"/>
      <c r="D498" s="138"/>
      <c r="E498" s="152"/>
      <c r="F498" s="3"/>
    </row>
    <row r="499" spans="1:77" ht="17" x14ac:dyDescent="0.2">
      <c r="A499" s="28"/>
      <c r="B499" s="139" t="s">
        <v>99</v>
      </c>
      <c r="C499" s="140">
        <f>SUM(C448:C497)</f>
        <v>59730000</v>
      </c>
      <c r="D499" s="140"/>
      <c r="E499" s="140">
        <f>SUM(E448:E498)</f>
        <v>13000000</v>
      </c>
      <c r="F499" s="3"/>
    </row>
    <row r="500" spans="1:77" ht="17" x14ac:dyDescent="0.2">
      <c r="A500" s="28"/>
      <c r="B500" s="139"/>
      <c r="C500" s="140"/>
      <c r="D500" s="149"/>
      <c r="E500" s="140"/>
      <c r="F500" s="3"/>
    </row>
    <row r="501" spans="1:77" ht="16" x14ac:dyDescent="0.2">
      <c r="A501" s="28"/>
      <c r="B501" s="18" t="s">
        <v>309</v>
      </c>
      <c r="C501" s="19"/>
      <c r="D501" s="146"/>
      <c r="E501" s="148"/>
      <c r="F501" s="3"/>
    </row>
    <row r="502" spans="1:77" ht="16" x14ac:dyDescent="0.2">
      <c r="A502" s="28"/>
      <c r="B502" s="20"/>
      <c r="C502" s="19"/>
      <c r="D502" s="149"/>
      <c r="E502" s="148"/>
      <c r="F502" s="3"/>
    </row>
    <row r="503" spans="1:77" ht="16" x14ac:dyDescent="0.2">
      <c r="A503" s="28"/>
      <c r="B503" s="22" t="s">
        <v>92</v>
      </c>
      <c r="C503" s="23">
        <f>E37</f>
        <v>927500000</v>
      </c>
      <c r="D503" s="149"/>
      <c r="E503" s="148"/>
      <c r="F503" s="3"/>
    </row>
    <row r="504" spans="1:77" s="15" customFormat="1" ht="16" x14ac:dyDescent="0.2">
      <c r="A504" s="28"/>
      <c r="B504" s="22" t="s">
        <v>97</v>
      </c>
      <c r="C504" s="23">
        <f>E210</f>
        <v>55386000</v>
      </c>
      <c r="D504" s="149"/>
      <c r="E504" s="148"/>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row>
    <row r="505" spans="1:77" ht="16" x14ac:dyDescent="0.2">
      <c r="A505" s="28"/>
      <c r="B505" s="22" t="s">
        <v>232</v>
      </c>
      <c r="C505" s="23">
        <f>SUM(E342)</f>
        <v>41269000</v>
      </c>
      <c r="D505" s="149"/>
      <c r="E505" s="148"/>
      <c r="F505" s="3"/>
    </row>
    <row r="506" spans="1:77" ht="16" x14ac:dyDescent="0.2">
      <c r="A506" s="28"/>
      <c r="B506" s="22" t="s">
        <v>93</v>
      </c>
      <c r="C506" s="23">
        <f>E441</f>
        <v>10660000</v>
      </c>
      <c r="D506" s="149"/>
      <c r="E506" s="148"/>
      <c r="F506" s="3"/>
    </row>
    <row r="507" spans="1:77" ht="16" x14ac:dyDescent="0.2">
      <c r="A507" s="28"/>
      <c r="B507" s="22" t="s">
        <v>94</v>
      </c>
      <c r="C507" s="23">
        <f>C499</f>
        <v>59730000</v>
      </c>
      <c r="D507" s="149"/>
      <c r="E507" s="148"/>
      <c r="F507" s="3"/>
    </row>
    <row r="508" spans="1:77" ht="16" x14ac:dyDescent="0.2">
      <c r="A508" s="28"/>
      <c r="B508" s="22" t="s">
        <v>95</v>
      </c>
      <c r="C508" s="23">
        <f>SUM(E499)</f>
        <v>13000000</v>
      </c>
      <c r="D508" s="149"/>
      <c r="E508" s="148"/>
      <c r="F508" s="3"/>
    </row>
    <row r="509" spans="1:77" ht="16" x14ac:dyDescent="0.2">
      <c r="A509" s="68"/>
      <c r="B509" s="24"/>
      <c r="C509" s="25"/>
      <c r="D509" s="152"/>
      <c r="E509" s="152"/>
      <c r="F509" s="3"/>
    </row>
    <row r="510" spans="1:77" x14ac:dyDescent="0.2">
      <c r="A510" s="28"/>
      <c r="B510" s="26" t="s">
        <v>109</v>
      </c>
      <c r="C510" s="27">
        <f>SUM(C503:C508)</f>
        <v>1107545000</v>
      </c>
      <c r="D510" s="162" t="s">
        <v>110</v>
      </c>
      <c r="E510" s="154"/>
      <c r="F510" s="195"/>
      <c r="G510" s="195"/>
    </row>
    <row r="511" spans="1:77" ht="16" x14ac:dyDescent="0.2">
      <c r="A511" s="28"/>
      <c r="B511" s="91"/>
      <c r="C511" s="29"/>
      <c r="D511" s="148"/>
      <c r="E511" s="148"/>
      <c r="F511" s="3"/>
    </row>
    <row r="512" spans="1:77" ht="16" x14ac:dyDescent="0.2">
      <c r="A512" s="28"/>
      <c r="B512" s="91"/>
      <c r="C512" s="29"/>
      <c r="D512" s="148"/>
      <c r="E512" s="148"/>
      <c r="F512" s="3"/>
    </row>
    <row r="513" spans="1:77" ht="16" x14ac:dyDescent="0.2">
      <c r="A513" s="28"/>
      <c r="B513" s="91"/>
      <c r="C513" s="29"/>
      <c r="D513" s="148"/>
      <c r="E513" s="148"/>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row>
    <row r="514" spans="1:77" ht="17" x14ac:dyDescent="0.2">
      <c r="A514" s="28"/>
      <c r="B514" s="91" t="s">
        <v>532</v>
      </c>
      <c r="C514" s="67" t="s">
        <v>108</v>
      </c>
      <c r="D514" s="148"/>
      <c r="E514" s="148"/>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row>
    <row r="515" spans="1:77" ht="28.5" customHeight="1" x14ac:dyDescent="0.2">
      <c r="A515" s="28"/>
      <c r="B515" s="91"/>
      <c r="C515" s="67" t="s">
        <v>474</v>
      </c>
      <c r="D515" s="148"/>
      <c r="E515" s="148"/>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row>
  </sheetData>
  <mergeCells count="61">
    <mergeCell ref="B205:E205"/>
    <mergeCell ref="B198:E198"/>
    <mergeCell ref="B190:E190"/>
    <mergeCell ref="B200:E200"/>
    <mergeCell ref="A195:D195"/>
    <mergeCell ref="B214:E214"/>
    <mergeCell ref="B41:E41"/>
    <mergeCell ref="B158:E158"/>
    <mergeCell ref="B45:C45"/>
    <mergeCell ref="B294:E294"/>
    <mergeCell ref="B285:E285"/>
    <mergeCell ref="A288:D288"/>
    <mergeCell ref="B46:E46"/>
    <mergeCell ref="B56:E56"/>
    <mergeCell ref="B149:E149"/>
    <mergeCell ref="B65:E65"/>
    <mergeCell ref="B185:E185"/>
    <mergeCell ref="B180:E180"/>
    <mergeCell ref="B173:C173"/>
    <mergeCell ref="B174:E174"/>
    <mergeCell ref="B275:E275"/>
    <mergeCell ref="B1:D1"/>
    <mergeCell ref="B2:D2"/>
    <mergeCell ref="B14:E14"/>
    <mergeCell ref="B166:C166"/>
    <mergeCell ref="B167:E167"/>
    <mergeCell ref="B57:C57"/>
    <mergeCell ref="B59:C59"/>
    <mergeCell ref="B87:E87"/>
    <mergeCell ref="B123:C123"/>
    <mergeCell ref="B134:E134"/>
    <mergeCell ref="B124:E124"/>
    <mergeCell ref="B104:E104"/>
    <mergeCell ref="B143:E143"/>
    <mergeCell ref="B34:C34"/>
    <mergeCell ref="B30:C30"/>
    <mergeCell ref="B302:E302"/>
    <mergeCell ref="B345:C345"/>
    <mergeCell ref="B219:E219"/>
    <mergeCell ref="B306:C306"/>
    <mergeCell ref="B307:E307"/>
    <mergeCell ref="B230:E230"/>
    <mergeCell ref="B232:E232"/>
    <mergeCell ref="B241:E241"/>
    <mergeCell ref="B243:E243"/>
    <mergeCell ref="B296:E296"/>
    <mergeCell ref="B255:E255"/>
    <mergeCell ref="B265:E265"/>
    <mergeCell ref="B272:E272"/>
    <mergeCell ref="B283:E283"/>
    <mergeCell ref="B277:E277"/>
    <mergeCell ref="B290:E290"/>
    <mergeCell ref="B443:E443"/>
    <mergeCell ref="B440:E440"/>
    <mergeCell ref="B318:E318"/>
    <mergeCell ref="B313:E313"/>
    <mergeCell ref="B344:C344"/>
    <mergeCell ref="B323:E323"/>
    <mergeCell ref="B332:E332"/>
    <mergeCell ref="B338:E338"/>
    <mergeCell ref="B327:E327"/>
  </mergeCells>
  <phoneticPr fontId="3" type="noConversion"/>
  <pageMargins left="0.45" right="0" top="0.75" bottom="0.75" header="0.3" footer="0.3"/>
  <pageSetup paperSize="9" scale="69" fitToHeight="14"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workbookViewId="0">
      <selection activeCell="I12" sqref="I12"/>
    </sheetView>
  </sheetViews>
  <sheetFormatPr baseColWidth="10" defaultColWidth="8.83203125" defaultRowHeight="16" x14ac:dyDescent="0.2"/>
  <cols>
    <col min="1" max="1" width="22.5" customWidth="1"/>
    <col min="2" max="2" width="15.83203125" customWidth="1"/>
  </cols>
  <sheetData>
    <row r="1" spans="1:5" x14ac:dyDescent="0.2">
      <c r="A1" s="88" t="s">
        <v>382</v>
      </c>
      <c r="B1" s="89">
        <v>1500000</v>
      </c>
      <c r="C1" s="88" t="s">
        <v>374</v>
      </c>
      <c r="E1">
        <v>10000000</v>
      </c>
    </row>
    <row r="2" spans="1:5" x14ac:dyDescent="0.2">
      <c r="A2" s="88"/>
      <c r="B2" s="89"/>
      <c r="C2" s="88"/>
    </row>
    <row r="3" spans="1:5" x14ac:dyDescent="0.2">
      <c r="A3" s="88" t="s">
        <v>383</v>
      </c>
      <c r="B3" s="87"/>
    </row>
    <row r="4" spans="1:5" x14ac:dyDescent="0.2">
      <c r="A4" t="s">
        <v>375</v>
      </c>
      <c r="B4" s="87" t="s">
        <v>376</v>
      </c>
      <c r="D4">
        <v>12</v>
      </c>
      <c r="E4">
        <f>12*10000*120</f>
        <v>14400000</v>
      </c>
    </row>
    <row r="5" spans="1:5" x14ac:dyDescent="0.2">
      <c r="A5" t="s">
        <v>378</v>
      </c>
      <c r="B5" t="s">
        <v>377</v>
      </c>
      <c r="D5">
        <v>6</v>
      </c>
      <c r="E5">
        <f>5000*6*120</f>
        <v>3600000</v>
      </c>
    </row>
    <row r="6" spans="1:5" x14ac:dyDescent="0.2">
      <c r="A6" t="s">
        <v>378</v>
      </c>
      <c r="B6" t="s">
        <v>379</v>
      </c>
      <c r="D6">
        <v>10</v>
      </c>
      <c r="E6">
        <f>10*6000*120</f>
        <v>7200000</v>
      </c>
    </row>
    <row r="7" spans="1:5" x14ac:dyDescent="0.2">
      <c r="A7" t="s">
        <v>380</v>
      </c>
      <c r="E7">
        <f>SUM(E4:E6)</f>
        <v>25200000</v>
      </c>
    </row>
    <row r="8" spans="1:5" x14ac:dyDescent="0.2">
      <c r="A8" t="s">
        <v>381</v>
      </c>
    </row>
    <row r="10" spans="1:5" x14ac:dyDescent="0.2">
      <c r="A10" s="88" t="s">
        <v>388</v>
      </c>
    </row>
    <row r="11" spans="1:5" x14ac:dyDescent="0.2">
      <c r="A11" t="s">
        <v>389</v>
      </c>
    </row>
    <row r="12" spans="1:5" x14ac:dyDescent="0.2">
      <c r="A12" t="s">
        <v>390</v>
      </c>
    </row>
    <row r="13" spans="1:5" x14ac:dyDescent="0.2">
      <c r="A13" t="s">
        <v>384</v>
      </c>
    </row>
    <row r="14" spans="1:5" x14ac:dyDescent="0.2">
      <c r="A14" t="s">
        <v>385</v>
      </c>
    </row>
    <row r="15" spans="1:5" x14ac:dyDescent="0.2">
      <c r="A15" t="s">
        <v>386</v>
      </c>
    </row>
    <row r="16" spans="1:5" x14ac:dyDescent="0.2">
      <c r="A16" t="s">
        <v>387</v>
      </c>
    </row>
    <row r="18" spans="1:2" x14ac:dyDescent="0.2">
      <c r="A18" s="88" t="s">
        <v>391</v>
      </c>
      <c r="B18" t="s">
        <v>392</v>
      </c>
    </row>
    <row r="20" spans="1:2" x14ac:dyDescent="0.2">
      <c r="A20" s="88" t="s">
        <v>393</v>
      </c>
    </row>
    <row r="22" spans="1:2" x14ac:dyDescent="0.2">
      <c r="A22" s="88" t="s">
        <v>394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фЦС ПЛАН 2022.</vt:lpstr>
      <vt:lpstr>Sheet1</vt:lpstr>
      <vt:lpstr>'фЦС ПЛАН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Microsoft Office User</cp:lastModifiedBy>
  <cp:lastPrinted>2022-03-01T09:13:51Z</cp:lastPrinted>
  <dcterms:created xsi:type="dcterms:W3CDTF">2015-01-09T09:45:15Z</dcterms:created>
  <dcterms:modified xsi:type="dcterms:W3CDTF">2022-03-01T09:14:34Z</dcterms:modified>
</cp:coreProperties>
</file>