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showInkAnnotation="0" checkCompatibility="1" autoCompressPictures="0"/>
  <mc:AlternateContent xmlns:mc="http://schemas.openxmlformats.org/markup-compatibility/2006">
    <mc:Choice Requires="x15">
      <x15ac:absPath xmlns:x15ac="http://schemas.microsoft.com/office/spreadsheetml/2010/11/ac" url="/Users/Marija/Desktop/BUDŽETI/Budžet 2019./"/>
    </mc:Choice>
  </mc:AlternateContent>
  <xr:revisionPtr revIDLastSave="0" documentId="13_ncr:1_{CC5E9103-C201-DD4F-8781-CB33734CE0E8}" xr6:coauthVersionLast="43" xr6:coauthVersionMax="43" xr10:uidLastSave="{00000000-0000-0000-0000-000000000000}"/>
  <bookViews>
    <workbookView xWindow="1120" yWindow="460" windowWidth="36140" windowHeight="19540" tabRatio="793" xr2:uid="{00000000-000D-0000-FFFF-FFFF00000000}"/>
  </bookViews>
  <sheets>
    <sheet name="фЦС ПЛАН 2019." sheetId="6" r:id="rId1"/>
    <sheet name="Sheet1" sheetId="7" r:id="rId2"/>
  </sheets>
  <definedNames>
    <definedName name="_ftn1" localSheetId="0">'фЦС ПЛАН 2019.'!#REF!</definedName>
    <definedName name="_ftnref1" localSheetId="0">'фЦС ПЛАН 2019.'!#REF!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37" i="6" l="1"/>
  <c r="C46" i="6"/>
  <c r="D49" i="6" s="1"/>
  <c r="C59" i="6"/>
  <c r="C61" i="6"/>
  <c r="C69" i="6"/>
  <c r="C76" i="6"/>
  <c r="C77" i="6"/>
  <c r="D94" i="6" s="1"/>
  <c r="C87" i="6"/>
  <c r="C88" i="6"/>
  <c r="C108" i="6"/>
  <c r="C111" i="6"/>
  <c r="C113" i="6"/>
  <c r="C114" i="6"/>
  <c r="C116" i="6"/>
  <c r="C117" i="6"/>
  <c r="C119" i="6"/>
  <c r="C127" i="6"/>
  <c r="C128" i="6"/>
  <c r="C129" i="6"/>
  <c r="C137" i="6"/>
  <c r="C145" i="6"/>
  <c r="C149" i="6"/>
  <c r="C150" i="6"/>
  <c r="C155" i="6"/>
  <c r="C157" i="6"/>
  <c r="D158" i="6"/>
  <c r="C162" i="6"/>
  <c r="D164" i="6" s="1"/>
  <c r="C168" i="6"/>
  <c r="C170" i="6"/>
  <c r="D172" i="6" s="1"/>
  <c r="C176" i="6"/>
  <c r="C177" i="6"/>
  <c r="C179" i="6"/>
  <c r="D185" i="6"/>
  <c r="C189" i="6"/>
  <c r="C191" i="6"/>
  <c r="D194" i="6" s="1"/>
  <c r="C198" i="6"/>
  <c r="C200" i="6"/>
  <c r="D205" i="6" s="1"/>
  <c r="C217" i="6"/>
  <c r="C218" i="6"/>
  <c r="C233" i="6"/>
  <c r="D237" i="6" s="1"/>
  <c r="D242" i="6"/>
  <c r="C248" i="6"/>
  <c r="C251" i="6"/>
  <c r="C252" i="6"/>
  <c r="C257" i="6"/>
  <c r="C258" i="6"/>
  <c r="D272" i="6"/>
  <c r="D278" i="6"/>
  <c r="C282" i="6"/>
  <c r="D284" i="6" s="1"/>
  <c r="C288" i="6"/>
  <c r="D290" i="6"/>
  <c r="D295" i="6"/>
  <c r="C299" i="6"/>
  <c r="D300" i="6" s="1"/>
  <c r="C304" i="6"/>
  <c r="D305" i="6" s="1"/>
  <c r="D310" i="6"/>
  <c r="C314" i="6"/>
  <c r="D315" i="6"/>
  <c r="C319" i="6"/>
  <c r="D326" i="6" s="1"/>
  <c r="C320" i="6"/>
  <c r="C321" i="6"/>
  <c r="C322" i="6"/>
  <c r="C323" i="6"/>
  <c r="C324" i="6"/>
  <c r="C325" i="6"/>
  <c r="C332" i="6"/>
  <c r="C337" i="6"/>
  <c r="D341" i="6" s="1"/>
  <c r="C209" i="6"/>
  <c r="D213" i="6"/>
  <c r="C345" i="6"/>
  <c r="C346" i="6"/>
  <c r="D354" i="6" s="1"/>
  <c r="D54" i="6"/>
  <c r="C451" i="6"/>
  <c r="D454" i="6" s="1"/>
  <c r="D464" i="6"/>
  <c r="D475" i="6"/>
  <c r="D482" i="6"/>
  <c r="D490" i="6"/>
  <c r="D497" i="6"/>
  <c r="C501" i="6"/>
  <c r="D504" i="6" s="1"/>
  <c r="C99" i="6"/>
  <c r="D47" i="6"/>
  <c r="D48" i="6"/>
  <c r="D46" i="6"/>
  <c r="C367" i="6"/>
  <c r="C368" i="6"/>
  <c r="C369" i="6"/>
  <c r="C370" i="6"/>
  <c r="D372" i="6" s="1"/>
  <c r="D442" i="6" s="1"/>
  <c r="B565" i="6" s="1"/>
  <c r="C371" i="6"/>
  <c r="C378" i="6"/>
  <c r="D379" i="6" s="1"/>
  <c r="C385" i="6"/>
  <c r="D387" i="6" s="1"/>
  <c r="C395" i="6"/>
  <c r="D396" i="6" s="1"/>
  <c r="D401" i="6"/>
  <c r="D411" i="6"/>
  <c r="D418" i="6"/>
  <c r="D425" i="6"/>
  <c r="D433" i="6"/>
  <c r="D440" i="6"/>
  <c r="D28" i="6"/>
  <c r="D30" i="6" s="1"/>
  <c r="B559" i="6"/>
  <c r="B567" i="6" s="1"/>
  <c r="B568" i="6"/>
  <c r="D559" i="6"/>
  <c r="D253" i="6" l="1"/>
  <c r="D506" i="6"/>
  <c r="B566" i="6" s="1"/>
  <c r="D262" i="6"/>
  <c r="D221" i="6"/>
  <c r="D180" i="6"/>
  <c r="D151" i="6"/>
  <c r="B104" i="6"/>
  <c r="D123" i="6" s="1"/>
  <c r="D141" i="6"/>
  <c r="B112" i="6"/>
  <c r="D72" i="6"/>
  <c r="B563" i="6"/>
  <c r="D361" i="6" l="1"/>
  <c r="B564" i="6" s="1"/>
  <c r="B570" i="6" s="1"/>
  <c r="D507" i="6" l="1"/>
</calcChain>
</file>

<file path=xl/sharedStrings.xml><?xml version="1.0" encoding="utf-8"?>
<sst xmlns="http://schemas.openxmlformats.org/spreadsheetml/2006/main" count="720" uniqueCount="575">
  <si>
    <t>ТОТАЛ</t>
  </si>
  <si>
    <t>Слање филмова и осталих материјала за селекцију</t>
  </si>
  <si>
    <t>Путни трошкови</t>
  </si>
  <si>
    <t>Хотел</t>
  </si>
  <si>
    <t>Оброци</t>
  </si>
  <si>
    <t>Проjекциjе на маркету</t>
  </si>
  <si>
    <t xml:space="preserve">Преносиве акредитациjе </t>
  </si>
  <si>
    <t>Штампање каталога, позивница и постера</t>
  </si>
  <si>
    <t>Припадаjуће дневнице</t>
  </si>
  <si>
    <t>Смештаj</t>
  </si>
  <si>
    <t>Путно осигурање</t>
  </si>
  <si>
    <t>Додатни трошкови у Београду</t>
  </si>
  <si>
    <t>Дневнице</t>
  </si>
  <si>
    <t>Штанд</t>
  </si>
  <si>
    <t>Акредитациjе</t>
  </si>
  <si>
    <t>Преносиве акредитациjе</t>
  </si>
  <si>
    <t>Телефон</t>
  </si>
  <si>
    <t>ФЦС је члан Европске филмске промоције, организације која настоји да укаже и наметне европски филм на маркетима, фестивалима у свету. Чланством у ЕФП смањују се појединачни трошкови промоциjе филма у свету, посебно на маркетима у Азији и Америци.</t>
  </si>
  <si>
    <t>Годишња чланарина и учешће у фонду за развоj проjеката</t>
  </si>
  <si>
    <t>Стална активност ФЦС у промоцији српског филма је и подршка продуцентским кућама у слању промотивних материјала, ДВД-јева  пре свега, фестивалима на жирирање. За оне фестивале који немају праксу да ове трошкове покривају, ФЦС чини у интересу продуцентских кућа.</t>
  </si>
  <si>
    <t>35.000 RSD x 2 особе</t>
  </si>
  <si>
    <t>15.000 EUR</t>
  </si>
  <si>
    <t>Каталог, огласи и постери - припрема, дизаjн</t>
  </si>
  <si>
    <t>150.000 RSD</t>
  </si>
  <si>
    <t>Превод и лектура (каталог, текстови за огласе, locations)</t>
  </si>
  <si>
    <t>30.000 RSD</t>
  </si>
  <si>
    <t>7.500 EUR</t>
  </si>
  <si>
    <t>200.000 RSD</t>
  </si>
  <si>
    <t>Трошкови на штанду и пријем ФЦС-а</t>
  </si>
  <si>
    <t>4.000 EUR</t>
  </si>
  <si>
    <t>Поклони партнерима</t>
  </si>
  <si>
    <t>20.000 RSD</t>
  </si>
  <si>
    <t>120.000 RSD</t>
  </si>
  <si>
    <t>Дизаjн каталога, огласа и постера</t>
  </si>
  <si>
    <t>75.000 RSD</t>
  </si>
  <si>
    <t>Press Wall</t>
  </si>
  <si>
    <t>3.000 EUR</t>
  </si>
  <si>
    <t>Пријем ФЦС</t>
  </si>
  <si>
    <t>Трошкови на штанду и репрезентација</t>
  </si>
  <si>
    <t>Путни трошкови - 4 avionske karte</t>
  </si>
  <si>
    <t>100 EUR</t>
  </si>
  <si>
    <t>240 EUR</t>
  </si>
  <si>
    <t>170 EUR</t>
  </si>
  <si>
    <t>Авио карте</t>
  </si>
  <si>
    <t>20.000 RSD x 2</t>
  </si>
  <si>
    <t>Сарајево таленти</t>
  </si>
  <si>
    <t>50 EUR x 8 особа</t>
  </si>
  <si>
    <t>2.000 EUR</t>
  </si>
  <si>
    <t xml:space="preserve">FEST FORWARD jе индустриjски део Београдског  филмског фестивала FEST коjим се представља значаjан искорак у даљем развоjу FEST. Fest Forward Business to Business програм jе тродневна манифестациjа у оквиру Београдског FEST-а, коjи чине место професионалних сусрета међународних филмских професионалаца кроз сериjа предавања, радионица (workshop-ова),  представљања нових проjеката и филмова у фази постпродукциjе и других програма. Програмсклу платформу и основ ових сусрета и активности чини унапређење положаjа домаће филмске индустриjе, и у самом почетку унапређивање и осавремењивање регионалног продукционог окружења. </t>
  </si>
  <si>
    <t>Коктел добродошлице</t>
  </si>
  <si>
    <t>Кафа и ужина на паузама</t>
  </si>
  <si>
    <t>Дизаjн и штампа брошуре, плаката, флаjера</t>
  </si>
  <si>
    <t>Трошкови изнаjмљивања и опремања сале</t>
  </si>
  <si>
    <t>Трансфер у локалу (до аеродрома, ресторана...)</t>
  </si>
  <si>
    <t>1.000 EUR</t>
  </si>
  <si>
    <t>TOTAЛ</t>
  </si>
  <si>
    <t>ОСКАР - номинациjа и подршка учешћу филма кандидата из Србиjе</t>
  </si>
  <si>
    <t>Чланство у Европској филмској промоцији (European Film Promotion)</t>
  </si>
  <si>
    <t>1.500 EUR</t>
  </si>
  <si>
    <t>Чланство у Мрежи кинематографиjа југоисточне Европе</t>
  </si>
  <si>
    <t>11.000 EUR</t>
  </si>
  <si>
    <t>5.000 EUR</t>
  </si>
  <si>
    <t>EWA (European Women's Audiovisual Network) - партнерство</t>
  </si>
  <si>
    <t>Чланство</t>
  </si>
  <si>
    <t>10.000 EUR</t>
  </si>
  <si>
    <t>FNE  Film New Europe Association</t>
  </si>
  <si>
    <t xml:space="preserve">FNE  Film New Europe Association jе платформа филмских професионалаца Источне, Централне Европе и Балтичке региjе. Основана jе од стране наjважниjих филмских институциjа у региjи. У оквиру асоциjациjе постоjи и webportal, коjи обавештава цео регион о актуелним дешавањима.   </t>
  </si>
  <si>
    <t>Кетеринг за учеснике радионица</t>
  </si>
  <si>
    <t>800 EUR x 2 учесника</t>
  </si>
  <si>
    <t>Годишња чланарина</t>
  </si>
  <si>
    <t>Пријем Филмског центра Србије за међународне и домаће госте</t>
  </si>
  <si>
    <t>ЕWА jе Женска европска аудиовизуелна мрежа коjа промовише једнакост полова у аудио-визуелном сектору у смислу приступа, као и могућности за запошљавање. У том смислу организуjе тренинге, радионице, обезбеђује платформе за размену информација и искустава о питањима коjа су од кључног значаја за жене професионалаце у оквиру аудиовизуелног сектора.  Кроз умрежавање и чланство ФЦС учествоваће у организациjи радионица, тренинга и промоциjи рада продуценткиња и омогућиће њихову већу видљивост и присуитност те продукциjу у оквиру европског аудиовизуелног тржишта. Чланство укључуjе стратешко партнерство са овом мрежом и омогућава одрживи развоj наше филмске индустриjе jер даjе приступ радионицама  и тренинзима коjи омогућаваjу професионално усавршавање жена из наше индустриjе.</t>
  </si>
  <si>
    <t>Авионске карте</t>
  </si>
  <si>
    <t>Котизациjа за радионице</t>
  </si>
  <si>
    <t>Смештај</t>
  </si>
  <si>
    <t>Дневнице за представнике ФЦС</t>
  </si>
  <si>
    <t>Промотивни материјали на штанду (торбе, УСБ картице)</t>
  </si>
  <si>
    <t>Павиљон, изнајмљиање простора, изградња и декорација</t>
  </si>
  <si>
    <t>15 EUR x 3 дана x 2 особе</t>
  </si>
  <si>
    <t>Пријем</t>
  </si>
  <si>
    <t xml:space="preserve">Телефон и интернет претплата и утрошени импулси </t>
  </si>
  <si>
    <t>200 EUR</t>
  </si>
  <si>
    <t>3.500 EUR</t>
  </si>
  <si>
    <t>Услуге стурчног саветовања и тренинга страних експерата</t>
  </si>
  <si>
    <t>Изнајмљивање штанда, опреме, акредитације и котизација за учешће на округлим столовима са индијским прод.</t>
  </si>
  <si>
    <t>Репрезентација / пријеми у част учешћа српских филмова и аутора на фестивалима</t>
  </si>
  <si>
    <t>Награде - национална и интернационална селекција</t>
  </si>
  <si>
    <t>Награда младе публике - Young Audience Award European film academy</t>
  </si>
  <si>
    <t>Штампа брошуре</t>
  </si>
  <si>
    <t>Дизајн и прелом брошуре</t>
  </si>
  <si>
    <t>1.000 EUR * 5 експерата</t>
  </si>
  <si>
    <t>180 EUR</t>
  </si>
  <si>
    <t>Наjам опреме за штанд (панели, media wall, намештаj)</t>
  </si>
  <si>
    <t>Берлин - 2 x 1/1 страна (2 x 1.600 EUR) + 2 x 1/2 стране (2 х 900 EUR) + 1 x 1/4 стране (500 EUR)</t>
  </si>
  <si>
    <t>Кан - 2 x 1/1 страна (2 x 1.600 EUR) + 2 x 1/2 стране (2 х 900 EUR) + 1 x 1/4 стране (500 EUR)</t>
  </si>
  <si>
    <t>Два непланирана А фестивала на којима учествује неки од српских филмоа у ваничном програму 2 x 1/1 (2 x 1.500 EUR)</t>
  </si>
  <si>
    <t>5.500  EUR</t>
  </si>
  <si>
    <t>3.000  EUR</t>
  </si>
  <si>
    <t>Хонорар ПР-а за 2 фестивала</t>
  </si>
  <si>
    <t>Оглашавање у страним филмским часописима и ПР</t>
  </si>
  <si>
    <t>365 EUR</t>
  </si>
  <si>
    <t>Слање / превоз материјала</t>
  </si>
  <si>
    <t>Слање филмова и материјала</t>
  </si>
  <si>
    <t>Превоз страних експерата у локалу</t>
  </si>
  <si>
    <t>600 EUR</t>
  </si>
  <si>
    <t>Радни ручкови</t>
  </si>
  <si>
    <t>Припрема каталога (прикупљање и обрада података и материјала за филмове)</t>
  </si>
  <si>
    <t>60 гостију x 3.000 RSD x 2 ручка и 3 вечере</t>
  </si>
  <si>
    <t>Поклони и промо материјали за госте (торбе, свеске, оловке)</t>
  </si>
  <si>
    <t>90 х 1,5 EUR</t>
  </si>
  <si>
    <t>Акредитације за госте, учеснике и организаторе</t>
  </si>
  <si>
    <t>4.000 EUR х 2 награде</t>
  </si>
  <si>
    <t>FIRST FILMS FIRST</t>
  </si>
  <si>
    <t>FIRST FILMS FIRST je континуални професионални тренинг намењен младим редитељима Jугоисточне Европе коjи развиjаjу своjе прве дугометражне игране филмове. Седиште програма jе у Београду, где се одвиjа и наjкомплексниjа радионица у оквиру програма. Програм обуке се састоjи од 4 модула/радионице, у укупном временском распону од 10 месеци, осмишљених тако да омогуће учесницима да развиjу своj први играни филм, водећи их корак по корак кроз различите фазе развоjа проjекта.</t>
  </si>
  <si>
    <t>Смештај учесника</t>
  </si>
  <si>
    <t>Путни трошкови учесника</t>
  </si>
  <si>
    <t>100 EUR х 8 особа</t>
  </si>
  <si>
    <t>65 EUR х 8 особа х 7 ноћи</t>
  </si>
  <si>
    <t>4.000 RSD x 8 особа х 6 дана</t>
  </si>
  <si>
    <t>Оброци учесника</t>
  </si>
  <si>
    <t>Путни трошкови тутора</t>
  </si>
  <si>
    <t>Смештај тутора</t>
  </si>
  <si>
    <t>Оброци тутора</t>
  </si>
  <si>
    <t>300 EUR х 2 особе</t>
  </si>
  <si>
    <t>65 EUR х 2 особе х 7 ноћи</t>
  </si>
  <si>
    <t>4.000 RSD x 2 особе х 6 дана</t>
  </si>
  <si>
    <t>Хонорари тутора</t>
  </si>
  <si>
    <t>1.500 EUR х 3 тутора</t>
  </si>
  <si>
    <t>Превод</t>
  </si>
  <si>
    <t>Штампа</t>
  </si>
  <si>
    <t>Дизајн</t>
  </si>
  <si>
    <t>Истраживање и анализа тржишта</t>
  </si>
  <si>
    <t>ТОТАЛ МЕЂУНАРОДНА</t>
  </si>
  <si>
    <t>Фонд за  подршку посебним програмима</t>
  </si>
  <si>
    <t>4) Програм ”Српски дани” у оквир Филмског фестивала у Херцег Новом</t>
  </si>
  <si>
    <t>Пријем у част учешћа српских филмова</t>
  </si>
  <si>
    <t>Трошкови освежења за чланове АФУН током избора филма</t>
  </si>
  <si>
    <t>Рентирање сале и опреме</t>
  </si>
  <si>
    <t>Маркет Канског филмског фестивала</t>
  </si>
  <si>
    <t>Маркет Берлинског филмског фестивала</t>
  </si>
  <si>
    <t>Сараjево филм фестивал</t>
  </si>
  <si>
    <t>FEST - FEST FORWARD</t>
  </si>
  <si>
    <t>Промоција локација и подстицаја у Србији</t>
  </si>
  <si>
    <t xml:space="preserve">Сагласно Уредби о подстицајима инвеститору да у Републици Србији производи аудиовизуелно дело, а у циљу подстицања привредних активности у вези са аудиовизуелном производњом, Филмски центар Србије ради на промоцији домаћих локација, услуга и опреме, и тако доприноси економском развоју креативног сектора у Србији. </t>
  </si>
  <si>
    <t>Путни трошкови и смештај за два учесника на фестивалима у Солуну и Лисабону (награда)</t>
  </si>
  <si>
    <t xml:space="preserve">ИДФА - промоциjа документарних филмова </t>
  </si>
  <si>
    <t>Укупни трошкови промоције номинованог филма</t>
  </si>
  <si>
    <t xml:space="preserve">Радионице за документарни филм </t>
  </si>
  <si>
    <t xml:space="preserve">Путни трошкови и смештај за предаваче </t>
  </si>
  <si>
    <t>Закуп простора и опреме</t>
  </si>
  <si>
    <t>Годишњи састанци Дескова Креативне Европе</t>
  </si>
  <si>
    <t xml:space="preserve">Учешће на годишњим састанцима Дескова Креативне Европе из целе Европе. На годишњем нивоу  EACEA  и DG CNECT организују два годишња састанка у трајању од 4 дана на којима је обавезно присуство свих дескова. Место састанака биће накнадно одређено.  </t>
  </si>
  <si>
    <t xml:space="preserve">Дневнице (2 особе x 4 дана x 2 састанка ) </t>
  </si>
  <si>
    <t>Авио карте (2 особе x 2 путовања)</t>
  </si>
  <si>
    <t>Регионална и прекогранична сарадња са другим десковима</t>
  </si>
  <si>
    <t xml:space="preserve">Организација и учешће 4 регионалне прекограничне сарадње са другим десковима из региона (Словенија, Хрватска, Босна и Херцеговина, Македонија, Црна Гора, Бугарска и Албанија) у трајању од 4 дана. </t>
  </si>
  <si>
    <t>Хотелски смештај  (2 особе x 2 састанка x 4 ноћења)</t>
  </si>
  <si>
    <t>Авио карте (1 особа x 4 путовања)</t>
  </si>
  <si>
    <t>15 EUR х 16 дана х 1 особа</t>
  </si>
  <si>
    <t>Хотелски смештај  (1 особа x 16 ноћења)</t>
  </si>
  <si>
    <t xml:space="preserve">Дневнице (1 особа x 4 дана x 4 сарадње ) </t>
  </si>
  <si>
    <t>65 EUR х 1 особа  х 16 ноћења</t>
  </si>
  <si>
    <t>15 EUR х 2 особе х 4 дана х 2 састанка</t>
  </si>
  <si>
    <t xml:space="preserve">Организација промотивног догађаја </t>
  </si>
  <si>
    <t>800 EUR x 2 промотивна догађаја</t>
  </si>
  <si>
    <t>250 EUR x 1 особа х 4 путовања</t>
  </si>
  <si>
    <t xml:space="preserve">Организација 4 инфодана у Србији: општа презентација MEDIA потпрограма.   </t>
  </si>
  <si>
    <t>20 EUR x 12 дана  x 1 особа</t>
  </si>
  <si>
    <t>Дневнице (1 особа x 12 дана)</t>
  </si>
  <si>
    <t>50 EUR x 4 путовања  x 1 особа</t>
  </si>
  <si>
    <t>Закуп опреме и простора (4 догађаја)</t>
  </si>
  <si>
    <t>700 EUR x 4 догађаја</t>
  </si>
  <si>
    <t xml:space="preserve">Освежење за учеснике </t>
  </si>
  <si>
    <t>Презентација MEDIA потпрограма</t>
  </si>
  <si>
    <t>Тренинзи</t>
  </si>
  <si>
    <t xml:space="preserve">Организација 4 тренинга/презентација конкурсних процедура </t>
  </si>
  <si>
    <t>Освежење за учеснике (4 догађаја)</t>
  </si>
  <si>
    <t>5 EUR x 4 догађаја  x 25 особа</t>
  </si>
  <si>
    <t>Оброци за госте</t>
  </si>
  <si>
    <t>Хонорари за предаваче</t>
  </si>
  <si>
    <t>Освежење</t>
  </si>
  <si>
    <t>Посета 4 домаћа филмска фестивала и организација MEDIA деск инфо штанда</t>
  </si>
  <si>
    <t>50 EUR x 4 ноћи x 1 особа</t>
  </si>
  <si>
    <t>Присуство на интернационалним филмским маркетима</t>
  </si>
  <si>
    <t>Присуство на домаћим филмским фестивалима</t>
  </si>
  <si>
    <t>350 EUR x 1 особа  x 4 фестивала</t>
  </si>
  <si>
    <t>50 EUR x 28 ноћења x 1 особа</t>
  </si>
  <si>
    <t xml:space="preserve">Издавање брошуре MEDIA деска Србије: годишња бошура са кратким прегледом свих конкурса који постоје у оквиру MEDIA потпрограма и успешних пројеката из Србије који су подржани од стране MEDIA потпрограма. </t>
  </si>
  <si>
    <t>Брошура MEDIA деска</t>
  </si>
  <si>
    <t>Лектура и коректура</t>
  </si>
  <si>
    <t>500 EUR</t>
  </si>
  <si>
    <t>Штампа (обим страна:30; тираж: 1500 )</t>
  </si>
  <si>
    <t>Промоција MEDIA деска</t>
  </si>
  <si>
    <t xml:space="preserve">Рекламирање у каталозима филмских фестивала </t>
  </si>
  <si>
    <t>Промотивни материјал (торбе, свеске, оловке, цегери)</t>
  </si>
  <si>
    <t>4 промотивна догађаја</t>
  </si>
  <si>
    <t>ТОТАЛ MEDIA ПРОГРАМ</t>
  </si>
  <si>
    <t>Хонорари</t>
  </si>
  <si>
    <t xml:space="preserve">12.000 RSD x 12 месеци </t>
  </si>
  <si>
    <t>Правне услуге</t>
  </si>
  <si>
    <t xml:space="preserve">20.000  RSD x 12 месеци </t>
  </si>
  <si>
    <t>Хонорар администратора ФБ страница MEDIA деска</t>
  </si>
  <si>
    <t>Трошкови оглашавања активности које током године реализује MEDIA деска (ПР)</t>
  </si>
  <si>
    <t>Хотелски смештај  (1 особа x 3 ноћења x 4 догађаја)</t>
  </si>
  <si>
    <t>Путни трошкови  (1 особа x 4 путовања)</t>
  </si>
  <si>
    <t>10 EUR x 4 догађаја x 50 особа</t>
  </si>
  <si>
    <t>Путни трошкови за предаваче (3 предавача x 2 семинара)</t>
  </si>
  <si>
    <t>Дневнице (1 особа x 8 дана )</t>
  </si>
  <si>
    <t xml:space="preserve">20 EUR x 2 дана x 4 фестивала x 1 особа </t>
  </si>
  <si>
    <t>Путни  трошкови (1 особа x 4 путовања)</t>
  </si>
  <si>
    <t>Хотелски смештај (1 особа x 4 ноћења)</t>
  </si>
  <si>
    <t>Дневнице (1 особа x 7 дана x 4 фестивала )</t>
  </si>
  <si>
    <t xml:space="preserve">15 EUR x 7 дана x 4 фестивала </t>
  </si>
  <si>
    <t>Путни трошкови (1 особа x 4 путовања)</t>
  </si>
  <si>
    <t>Хотелски смештај (1 особа x 7 ноћења x 4 фестивала)</t>
  </si>
  <si>
    <t>20 EUR x 3 ноћење x 1 особа x 4 догађаја</t>
  </si>
  <si>
    <t>50 EUR x 1 особа x 4 фестивала</t>
  </si>
  <si>
    <t>Путни трошкови и смештај за представника ДокСрбија на скупштини ЕДН</t>
  </si>
  <si>
    <t>Чланство у европској документарној мрежи - ЕДН</t>
  </si>
  <si>
    <t xml:space="preserve">Дугометражни играни филм </t>
  </si>
  <si>
    <t>Комерцијални филм</t>
  </si>
  <si>
    <t>Филм са националном темом</t>
  </si>
  <si>
    <t>Развој и унапређење сценарија</t>
  </si>
  <si>
    <t>Развој пројеката</t>
  </si>
  <si>
    <t>Преддигитализација и дигитализација</t>
  </si>
  <si>
    <t>Мањинске продукције</t>
  </si>
  <si>
    <t>Хонорар аутора</t>
  </si>
  <si>
    <t>Израда индекса</t>
  </si>
  <si>
    <t>Лектура/ коректура</t>
  </si>
  <si>
    <t>Лектура/коректура</t>
  </si>
  <si>
    <t>Трошкови слања књига</t>
  </si>
  <si>
    <t>Закуп штанда</t>
  </si>
  <si>
    <t>ТОТАЛ ИЗДАВАШТВО</t>
  </si>
  <si>
    <t>ЗАХТЕВ УСТАНОВЕ / средства из БУЏЕТА</t>
  </si>
  <si>
    <t>ОПИС</t>
  </si>
  <si>
    <t>РЕДОВНА ДЕЛАТНОСТ</t>
  </si>
  <si>
    <t>ПРОГРАМИ И ИНВЕСТИЦИЈЕ</t>
  </si>
  <si>
    <t>Зараде</t>
  </si>
  <si>
    <t>Плате,  додаци и накнаде запослених</t>
  </si>
  <si>
    <t xml:space="preserve">Социјални доприноси </t>
  </si>
  <si>
    <t>Допринос за пензијско и инвалидско осигурање</t>
  </si>
  <si>
    <t>Допринос за здравствено осигурање</t>
  </si>
  <si>
    <t xml:space="preserve">Социјална давања запосленима </t>
  </si>
  <si>
    <t>Накнаде трошкова за запослене</t>
  </si>
  <si>
    <t xml:space="preserve">Награде запосленима </t>
  </si>
  <si>
    <t xml:space="preserve">Награде запосленима и ост.посеб.расходи </t>
  </si>
  <si>
    <t>Стални трошкови</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</si>
  <si>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</si>
  <si>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</si>
  <si>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</si>
  <si>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</si>
  <si>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</si>
  <si>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</si>
  <si>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</si>
  <si>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t>
  </si>
  <si>
    <t>Трошкови службених путовања у земљи</t>
  </si>
  <si>
    <t>Трошкови службених путовања  у иностранству</t>
  </si>
  <si>
    <t>Трошкови путовања у оквиру редовног рада</t>
  </si>
  <si>
    <t>Остали трошкови транспорта</t>
  </si>
  <si>
    <t>Услуге по уговору</t>
  </si>
  <si>
    <t>Административне услуге</t>
  </si>
  <si>
    <t>Компјутерске услуге</t>
  </si>
  <si>
    <t>Услуге образовања и усавршавања запослених</t>
  </si>
  <si>
    <t>Услуге информисања</t>
  </si>
  <si>
    <t>Стручне услуге</t>
  </si>
  <si>
    <t>Репрезентација</t>
  </si>
  <si>
    <t>Остале опште услуге</t>
  </si>
  <si>
    <t>Специјализоване услуге</t>
  </si>
  <si>
    <t>Услуге образовања, културе и спорта</t>
  </si>
  <si>
    <t>Текуће поправке и одржавање</t>
  </si>
  <si>
    <t>Текуће поправке и одржавање зграда и објеката</t>
  </si>
  <si>
    <t>Текуће поправке и одржавање зграда опреме</t>
  </si>
  <si>
    <t>Материјал</t>
  </si>
  <si>
    <t>Административни материјал</t>
  </si>
  <si>
    <t>Материјали за образовање и усавршавање заопослених</t>
  </si>
  <si>
    <t>Материјали за образовање, културу и спорт</t>
  </si>
  <si>
    <t>Материјали за одржавање хигијене и угоститељство</t>
  </si>
  <si>
    <t>Порези таске и казне</t>
  </si>
  <si>
    <t>Обавезне таксе</t>
  </si>
  <si>
    <t>Машине и опрема</t>
  </si>
  <si>
    <t>Опрема за образовање, науку, културу и спорт</t>
  </si>
  <si>
    <t>КОНКУРСИ</t>
  </si>
  <si>
    <t>ИЗДАВАШТВО</t>
  </si>
  <si>
    <t>ТЕКУЋИ ТРОШКОВИ (РЕДОВНА ДЕЛАТНОСТ)</t>
  </si>
  <si>
    <t>ИНВЕСТИЦИЈЕ И ОПРЕМА</t>
  </si>
  <si>
    <t>ТОТАЛ КОНКУРСИ</t>
  </si>
  <si>
    <t xml:space="preserve">МЕЂУНАРОДНА САРАДЊА И ПРОМОЦИЈА </t>
  </si>
  <si>
    <t>Филмски центар Србије</t>
  </si>
  <si>
    <t>ТОТАЛ РЕДОВНА ДЕЛАТНОСТ И ИНВЕСТИЦИЈЕ</t>
  </si>
  <si>
    <t>ПРИКАЗ ПЛАНИРАНИХ РАСХОДА ФЦС У 2018.</t>
  </si>
  <si>
    <t>2.000  EUR x 2 особе</t>
  </si>
  <si>
    <t xml:space="preserve">ТОТАЛ ПРОГРАМИ </t>
  </si>
  <si>
    <t>MEDIA ДЕСК СРБИЈЕ - план и програм 2018.</t>
  </si>
  <si>
    <t>MEDIA ДЕСК СРБИЈЕ</t>
  </si>
  <si>
    <t>Стимулације (гледаност, страних дистрибутера домаћег филма у иностранству, дистрибутера домаћег филма, квалитета и приказиваштва)</t>
  </si>
  <si>
    <t>Администрирање конкурса (конкурсне комисије, комисија за правдање средстава, супервизор продукције документарних филмова, супервизор продукције играних филмова, оглашавање текста конкурса у дневној штампи, правне услуге)</t>
  </si>
  <si>
    <t>Студентски завршни филм</t>
  </si>
  <si>
    <t>Ауторска права</t>
  </si>
  <si>
    <t>Дугометражни анимирани филм</t>
  </si>
  <si>
    <t>Дугометражни документарни филм</t>
  </si>
  <si>
    <t>Краткометражни играни филм</t>
  </si>
  <si>
    <t>Краткометражни анимирани филм</t>
  </si>
  <si>
    <t>Краткометражни документарни филм</t>
  </si>
  <si>
    <t>Директор Филмског центра Србиjе</t>
  </si>
  <si>
    <t xml:space="preserve">                          Бобан Јевтић</t>
  </si>
  <si>
    <t xml:space="preserve">ТОТАЛ ПРОГРАМИ, РЕДОВНА ДЕЛАТНОСТ И ИНВЕСТИЦИЈЕ </t>
  </si>
  <si>
    <t>РСД</t>
  </si>
  <si>
    <t>Конкурс дуговања</t>
  </si>
  <si>
    <t>6.195 EUR (5250 + 18%)</t>
  </si>
  <si>
    <t>Фотограф (хонорар, трошкови превоза, обрада фотографија за брошуру)</t>
  </si>
  <si>
    <t>Дизајн брошуре</t>
  </si>
  <si>
    <t>4.000 EUR један оглас</t>
  </si>
  <si>
    <t>CineLink - Награда ФЦС</t>
  </si>
  <si>
    <t>Као и сваке године, једно од стратешки важних тачака за промоцију српског филма је Сарајево филм фестивал. Филмови из Србије су у два наврата за последњих пет година побеђивали, пројекти из Србије добијали су подршку на CineLinku, десетине младих сваке године учествује на Saraјevo Talent Campusu... Осим учешћа у индустријском делу Фестивала представника ФЦС и подршке филмовима у програмима Фестивала, ФЦС сноси трошкове путa учесника Talent Campusa из Србије. На Фестивалу 2017, уведена је награда за најбољи пројекат серије, чији је спонзор ФЦС. Планирамо да награду спонзоришемо и наредне године.</t>
  </si>
  <si>
    <t xml:space="preserve">Подршка филму кандидату из Србиjе за награду Оскар за наjбољи филм ван енглеског говорног подручjа. Подразумева израду пропагандног материjала, пројекције, оглашавање у медиjима, путне трошкове представника филма и ангажовање међународног публицисте односно агенциjе за логистику и промоциjу у САД. </t>
  </si>
  <si>
    <t>Ради промоције српске кинематографије и пореских олакшица за снимање аудио визуелних дела у Србији (tax incentives) Филмски Центар Србије планира да за време филмских фестивала даје огласе у страним филмским магазинима: The Hollywood Reporter, Screen International, Cannes Market News, Film Francais, Variety. Напомињемо да су ово цене са попустом од око 50% коjе добиjамо захваљуjући дугогодишњоj сарадњи и познанствима. Такође планирано је ангажовање ПР-а, који би умногоме потпомогао и побољшао промоцију филмова из Србије.</t>
  </si>
  <si>
    <t>1.000 RSD x 30 учесника x 3 дана x 2 радионице</t>
  </si>
  <si>
    <t>Исплата накнада за време одуствовања с посла на терет фондова</t>
  </si>
  <si>
    <t>Трошкови организације, дизајнирања изборног материјала и брендирања конференције за штампу</t>
  </si>
  <si>
    <t>Трошкови секретарских послова</t>
  </si>
  <si>
    <t>Услуге снимања</t>
  </si>
  <si>
    <t>МЕЂУНАРОДНA САРАДЊA И ПРОМОЦИЈА  - план и програм 2019.</t>
  </si>
  <si>
    <t>ПЛАН И ПРОГРАМ ЗА 2019. ГОДИНУ</t>
  </si>
  <si>
    <t>16.000 EUR</t>
  </si>
  <si>
    <t>Четири наведена програма су годишње манифестациjе, већ етаблиране, са коjима ФЦС сарађуjе. Оне су модел за нове манифестациjе коjе се редовно поjављуjу.</t>
  </si>
  <si>
    <t>37.500 RSD x 2 особе</t>
  </si>
  <si>
    <t>Авионске карте за представнике ФЦС</t>
  </si>
  <si>
    <t>20.000 х 2 особе</t>
  </si>
  <si>
    <t>15 EUR х 10 дана</t>
  </si>
  <si>
    <t>15 EUR x 2 особe x 4 дана x 15 фестивала</t>
  </si>
  <si>
    <t>750 EUR</t>
  </si>
  <si>
    <t>Путни трошкови - 5 авионских карата</t>
  </si>
  <si>
    <t>150 EUR</t>
  </si>
  <si>
    <t>1) Фестивал српског филма у Хелсинкиjу у октобру, у сарадњи са српско-финским друштвом и Амбасадом РС у Хелсинкиjу</t>
  </si>
  <si>
    <t>2) Филманак - дани српског филма у Виртембергу у октобру, у сарадњи са Српском академском мрежом "Никола Тесла"</t>
  </si>
  <si>
    <t>3) Дани српског филма у Пули у априлу, у сарадњи са Српским културним центром</t>
  </si>
  <si>
    <t>Маркет у Кану је, традиционално, најзначајније место за промоцију кинематографије. Наредно издање овог фестивала је изузетна прилика да се крунишу напори који су учињени током 2018.  и представе сви они филмови који су већ побрали велику пажњу међународне и домаће јавности као и филмови који још увек нису имали светску премијеру. Већ етаблирани регионални штанд у Кану jе идеална позициjа за промоциjу српског филма.</t>
  </si>
  <si>
    <t>Берлинале је уз Фестивал у Кану и Венецији најзначајнији филмски фестивал на свету. Маркет Берлинског фестивала jе циљ и циљана група за све произвођаче, купце и промотере филмова. С обзиром на значаj представљања у Берлину и чињеницу да jе део трошкова покривен плаћањима у претходној години по моделу Early Bird, током јануара 2019. треба платити заостале обавезе, а током септембра 2019. треба платити обавезе за организациjу учешћа на Маркету 2020.</t>
  </si>
  <si>
    <t>II део трошкова за Маркет 2019, jануар 2019.</t>
  </si>
  <si>
    <t>I део трошкова за Маркет 2020, септембар 2019.</t>
  </si>
  <si>
    <t>5.500 EUR</t>
  </si>
  <si>
    <t>Штампање каталога</t>
  </si>
  <si>
    <t>Пројекције на маркету</t>
  </si>
  <si>
    <t>4.000 RSD</t>
  </si>
  <si>
    <t>5000 RSD</t>
  </si>
  <si>
    <t>Путни трошкови за иностране експерте и представнике проjеката</t>
  </si>
  <si>
    <t xml:space="preserve">Смештаj учесника </t>
  </si>
  <si>
    <t>50 гостију x 30.000 RSD</t>
  </si>
  <si>
    <t>50 гостију x 3 ноћења x 80 EUR</t>
  </si>
  <si>
    <t>60 гостију x 15 EUR</t>
  </si>
  <si>
    <t>Producers on the Move, април - маj 2019.</t>
  </si>
  <si>
    <t>1000 EUR</t>
  </si>
  <si>
    <t>1500 EUR</t>
  </si>
  <si>
    <t>ФЦС је од Института за филм (један од оснивача Мреже) наследио чланство у Мрежи кинематографија земаља југоисточне Европе, која има фонд за развој пројеката. Два пута годишње SEE CN, током генералне скупштине, додељује подршку за развој дугометражног играног филма и снимање кратког играног филма. Осим трошкова котизације за 2019. као и чланарине, планиран је само део дневница за учешће на новембарској Генералној скупштини у Солуну, трошкове пута и боравка покрива Грчки филмски центар.</t>
  </si>
  <si>
    <t>Припрема и прелом</t>
  </si>
  <si>
    <t>Израда програма и статистика за састанке  један-ја-један, постављање на сајт и умрежавање</t>
  </si>
  <si>
    <t>Трошкови смештаја</t>
  </si>
  <si>
    <t>40 EUR х 2 дана х 4 особе</t>
  </si>
  <si>
    <t xml:space="preserve">Пријем / ручак за госте </t>
  </si>
  <si>
    <t>300 EUR</t>
  </si>
  <si>
    <t xml:space="preserve">Хостовање пријема </t>
  </si>
  <si>
    <t>6.000 EUR</t>
  </si>
  <si>
    <t>15 EUR x 1 особа x 4 дана</t>
  </si>
  <si>
    <t>У оквиру ИДФА - Међународног фестивала документарног филма у Амстердаму (новембар 2019), коjи jе jедан од наjвећих и наjважниjих фестивала документарног филма на свету, ФЦС планира представљање српских документарних филмова, имајући у виду веома позитивно искуство из 2017. i 2018. године. Такође, имаjући у виду да класичан маркет не постоjи и да продуценти самостално врше промоциjу у оквиру програма "Docs for Sale", ФЦС планира хостовање односно спонзорисање активности "Guest Meet Guest" коjа представља идеалну платформу за промоциjу у коjоj аутоматски учествуjу сви акредитовани "industry" учесници ИДФА-е.</t>
  </si>
  <si>
    <t>Путни трошкови (представник ФЦС и представник документариста + 3 продуцента)</t>
  </si>
  <si>
    <t>40.000 x 5 особа</t>
  </si>
  <si>
    <t>170 EUR x 5 особе x 3 ноћења</t>
  </si>
  <si>
    <t>EAVE - организовање 2. радионице у Београду 2019.</t>
  </si>
  <si>
    <t xml:space="preserve">Локарно филм фестивал - First Look on Serbian Cinema </t>
  </si>
  <si>
    <t>31.000 EUR</t>
  </si>
  <si>
    <t>Укупни трошкови програма ”Први поглед на српски филм”</t>
  </si>
  <si>
    <t>Трст - When East Meets West</t>
  </si>
  <si>
    <t>5000 EUR</t>
  </si>
  <si>
    <t>Награда филмског центра Србије за најбољи пројекат у развоју</t>
  </si>
  <si>
    <t xml:space="preserve">Дневнице за представника ФЦС </t>
  </si>
  <si>
    <t>15 EUR * 4 дана</t>
  </si>
  <si>
    <t>Les Arcs Film Festival - Industry Village / партнерство</t>
  </si>
  <si>
    <t>6000 EUR</t>
  </si>
  <si>
    <t>Организација партнерског Networking event-a</t>
  </si>
  <si>
    <t>Авио превоз за представника ФЦС и 4 одабрана продуцента</t>
  </si>
  <si>
    <t>45.000 RSD * 5 чланова делегације</t>
  </si>
  <si>
    <t>Радни ручак</t>
  </si>
  <si>
    <t>Дневнице за 2 представника ФЦС</t>
  </si>
  <si>
    <t>15 EUR х 5 дана х 2 особе</t>
  </si>
  <si>
    <t xml:space="preserve">Пројекат који је Европска филмска академија (ЕФА) лансирала 2011. а који је први пут остварен 2012. у шест европских градова, у коме је учествоваво и ФЦС својеврстан је образовно васпитни полигон за привлачење најмлађих филму, уметности и забави. ФЦС са Филмским фестивалом Слободна зона организуjе оваj целодневни програм почетком маjа 2019. </t>
  </si>
  <si>
    <t xml:space="preserve">First Look (Први поглед) је секција Локарно филм фестивала намењена пројектима који су ”у раду” и представља одличну одскочну даску за још незавршене филмове, који ће бити приказана свим продајним агентима и фестивалским програмерима који присуствују Локарно фестивалу током три дана, што представља добар почетак за међународну каријеру. ”Филмове у раду” ће оценити међународни жири  и такмичиће се за награду од 65.000 евра у услугама за постпродукцију. Одабрани продуценти пројеката имаће прилику за неформално умрежавање током професионалних ручкова и пријема, који ће бити организовани у част српског филма, имајући у виду да је Србија земља у фокусу 2019 године и да ће цео програм бити конципиран у циљу промоције српског филма и спрпских филмских професионалаца. </t>
  </si>
  <si>
    <t xml:space="preserve">У сарадњи са организаторима Индустријског села - Филмског фестивала Лез Аркс, Филмски центар Србиjе планира организацију трећег по реду партнерства и укључивање продуцената из Србиjе у Копродукцијско село. Учешеће на овом престижном догађају, који представља једну од најважнијих европских платформи за филмске професионалце и филмску индустрију у глобалу, отвара многа врата продуцентима из Србије у смислу налажења партнера и умрежавања у зависности од фазе у којој се налази пројекат који развијају: копродуценти, агенти продаје, представници фонодова или фестивала... Имајући у виду веома позитивна искуства из претходне две године, партнерство са Фестивалом Лез Аркс представља одличну платформу како за продуценте из Србије тако и за промоцију српске кинематографије и Филмског центра Србије. </t>
  </si>
  <si>
    <t>Трошкови реализације програма - Награда младе публике</t>
  </si>
  <si>
    <t>Филмски центар Србије, Радио-телевизија Србије, Културни центар Београд, Југословенска кинотека, Отворени универзитет Суботица / Фестивал европског филма Палић, Удружење грађана „Поглед у свет“ / Фестивал ауторског филма, Фонд Б92 / Фестивал Слободна зона, Међународни фестивал документарног филма под називом „БЕЛДОКС“ и чланови породице Небојше Поповића додељује годишњу Награду ”Небојша Поповић” појединцу или групи која је својим посебним активностима и залагањем дала значајан и дуготрајан допринос промоцији и критичком промишљању филмске уметности и културе, посебно домаћег филма.</t>
  </si>
  <si>
    <t>Награда ”Небојша Поповић”</t>
  </si>
  <si>
    <t>Новчани износ награде добитнику</t>
  </si>
  <si>
    <t>Уметнички обликовани предмет</t>
  </si>
  <si>
    <t>160.000  RSD</t>
  </si>
  <si>
    <t>REACT / партнерство и учешће продуцената из Србије</t>
  </si>
  <si>
    <t xml:space="preserve">Годишња чланарина </t>
  </si>
  <si>
    <t>ACE / годишња чланарина за радионицу BPX</t>
  </si>
  <si>
    <t xml:space="preserve">Током Берлинкског филмског фестивала, у организацији ACE (Мрежа независних европских филмских продуцената) сваке године се одржава радионица BPX (Best Practice Exchange), која је намењена директорима европских филмских фондова. На годишњој радионици расправља се о текућим кључним темама битним за европску филмску сцену. </t>
  </si>
  <si>
    <t>Подршка</t>
  </si>
  <si>
    <t>Авио превоз за представника ФЦС и 6 одабраних продуцената са пројектима</t>
  </si>
  <si>
    <t xml:space="preserve">Котизација за учешће српских продуцената </t>
  </si>
  <si>
    <t>25000 RSD * 7 чланова делегације</t>
  </si>
  <si>
    <t>Котизација за учешће 4 продуцента и 2 редитеља из Србије</t>
  </si>
  <si>
    <t>3150  EUR</t>
  </si>
  <si>
    <t>EAVE jе организациjа за стручно усавршавање, развоj проjеката и умрежавање за продуценте. Филмски центар Србиjе планира да у партнерству са EAVE организуjе тзв. 2. EAVE радионицу у Београду, током јуна 2019. године. Поред српских продуцената коjи похађаjу све три радионице током године и оних продуцената коjи су током година постали део EAVE мреже, бенефити за филмску индустриjу и продуценте из Србиjе су вишеструки. EAVE организуjе радионицу прилагођену локалним продуцентима паралелно са главном радионицом. Све сесиjе су отвореног типа и локални продуценти им могу присуствовати. Треба имати у виду да ће у Београду боравити око 50 продуцената из више од 30 земаља, око 60 салес агената, представника филмских фондова дистрибутерра и искусних продуцената, као и тим EAVE стурчњака коjи ће имати прилику да се сретну са локалним продуцентима и упознаjу са локалном филмском индустриjом и локациjама.  Филмски центар Србиjе би на себе преузео трошкове и организациjу овог догађаjа што подразумева: смештаj и исхрана есперата и EAVE тима, рентирање сале са свим неопходним техничким условима, канцелариjски материjал, аудио-визуелна опрема, локални транспорт, IT, хонорар за координатора wорксхопа... Систем покривања трошкова коjи EAVE заступа jе да директно врши плаћања. То значи да би ФЦС до краја марта 2019. извршио уплату целе суме на рачун EAVE-а, тако да би сва плаћања ишла директно преко EAVE.</t>
  </si>
  <si>
    <t>REACT је заједничка развојна иницијатива коју је 2015. године основао Хрватски аудиовизуални центар, ФВГ аудиовизуелни фонд и Словенски филмски центар. Главни циљ је подстицање међународне копродукције у региону кроз две различите и комплементарне фазе: 1) платформа за обуку у којој професионалци могу развити своје пројекте и упознати потенцијалне копродуценте; 2) шема за финансирање заједничког развоја пројеката, која подразумева подршку дугометражних играних, документарних и кратких анимараних филмова у копродукцији са најмање две земље које учествују у REACT -у.
Почевши од 2018. године, REACT истражује могућност укључивања Аустрије и Србије у своје ко-развојне иницијативе тако што ће одабрати аустријске и српске филмске професионалце за платформама за обуку организоване у партнерству са неким од водећих едукативних радионица  (као што су ToriniFilmLab, ExOrienteFilm и Мaia радионице).</t>
  </si>
  <si>
    <t>120.000 RSD x 2 oсобе</t>
  </si>
  <si>
    <t>170 EUR x 5 ноћи x 2 особе</t>
  </si>
  <si>
    <t>15 EUR x 7 дана x 2 особе</t>
  </si>
  <si>
    <t>1000 RSD x 2 особе</t>
  </si>
  <si>
    <t>Визе за Индију</t>
  </si>
  <si>
    <t>50 ЕUR x 2 особе</t>
  </si>
  <si>
    <t xml:space="preserve">Радни ручкови </t>
  </si>
  <si>
    <t xml:space="preserve">500 ЕUR </t>
  </si>
  <si>
    <t>Годишњи оглас у штампаном издању за кански фестивал "Location Guide 2019"</t>
  </si>
  <si>
    <t>Годишњи оглас за web издање .www.thelocationguide.com</t>
  </si>
  <si>
    <t xml:space="preserve">2.000  EUR </t>
  </si>
  <si>
    <t xml:space="preserve">Циљ MEDIA деска јесте да пружи подршку представницима аудиовизуелног и мултимедијалног сектора који желе да обезбеде учешће у потпрограму MEDIA. Потпрограм MEDIA у оквиру програма Кретивна Европа подстиче развој европског аудиовизуелног и мултимедијалног сектора, дајући подршку: развоју, дистрибуцији и промоцији европских играних, анимираних и документарних филмова и телевизијских серија, развоју и промоцији нових медијских садржаја, стручном усавршавању филмских професионалаца, развоју нових технологија и платформи за дистрибуцију аудиовизуелног садржаја, филмским фестивалима и развоју публике.
Кроз консултације, јавне догађаје и едукативне активности које организује, MEDIA деск информише о могућностима које пружа MEDIA потпрограм и пружа подршку и савете за конкурисање. Сви догађаји који се планирају у раду деска током 2019. године треба да допринесу развоју аудиовизуелног сектора у Србији са једне стране и промоцији потпрограма MEDIA са друге. Задатак MEDIA деска јесте да промовише потпрограм MEDIA као јединствену прилику за финансиранје развоја аудиовизуелног сектора у земљама чланицама кроз организацијусопствених иницијатива као што су семинари, радионице, инфо дани и тренинзи, промовише, подржава и чествује уи прекограничној сарадњи, али и да учествује у догађајима и активностима који су на међународном нивоу организовани од стране EACEA  и DG CNECT .
Циљеви MEDIA потпрограма су:
- Јачање европског аудиовизуелног и мултимедијалног сектора наглашавајући европски идентитет, наслеђе и културну разноликост;
- Већа присутност европских аудиовизуелних дела на међународном тржишту;
- Јачање и подстицање иновативности и конкурентности европског аудиовизуелног сектора.
Финансирање је доступно у неколико категорија које обухватају: подршку продуцентима за развој иновативних и конкурентних пројеката из области филма, ТВ програма и видео игара, подршку дистрибуцији европских аудиовизуелних дела, развој публике и професионално усавршавање и умрежавање.
У 2019. години MEDIA деск Србије планира да, поред уобичајних активности које подразумевају континуирану пружање информација о MEDIA потпрограму и конкурсима који постоје у оквиру MEDIA потпрограма и асистирања у развоју апликација, организује и инфо дане,  едукативне програме и семинаре који ће бити фокусирани на специфичне проблеме филмске индустрије и аудиовизуелног сектора у Србији и учествује на домаћим, регионалним и интернационалним филмским фестивалима.продаjе и дистрибуциjе, сценариjа, камере, звука, дизаjна сценографиjе, нових технологиjа и анимациjе. </t>
  </si>
  <si>
    <t>Хонорари координатора програма (део који се финансира из буџета Министарства културе и информисања)</t>
  </si>
  <si>
    <t>Хонорар финансијског менаџера и консултанта на програму (део који се финансира из буџета Министарства културе и информисања)</t>
  </si>
  <si>
    <t>80 EUR х 2 особе х 4 дана х 2 састанка</t>
  </si>
  <si>
    <t xml:space="preserve">250 EUR x 2 особe х 2 </t>
  </si>
  <si>
    <t xml:space="preserve">Семинари </t>
  </si>
  <si>
    <t xml:space="preserve">Организација 1 семинара/предавања са фокусом на развој аудиовизуелног сектора у Србији. Семинар се организује на тему развоја и продукције висококвалитетних ТВ драма.. Предавачи ће бити накнадно утврђени. </t>
  </si>
  <si>
    <t xml:space="preserve">350 EUR x 6 предавача </t>
  </si>
  <si>
    <t>Хотелски смештај за предаваче и учеснике семинара (23 предавача x 2 ноћења)</t>
  </si>
  <si>
    <t>65 EUR x 2 ноћење x 23 учесника</t>
  </si>
  <si>
    <t>30 EUR  x 20 гостију</t>
  </si>
  <si>
    <t xml:space="preserve">300 EUR x 6 предавача </t>
  </si>
  <si>
    <t xml:space="preserve">1400 EUR </t>
  </si>
  <si>
    <t>25 EUR x 30 гостију</t>
  </si>
  <si>
    <t xml:space="preserve">Присуство на 4 интернационална филмска маркета у трајању до 7 дана: Берлинаре и Кански маркет и још два која ће накнадно бити одређена у зависности од планираних годишњих активности MEDIA канцеларија свих Дескова у Европи и  активности EACEA  и DG CNECT у оквиру тих маркета. </t>
  </si>
  <si>
    <t>Промоција MEDIA деска обухвата неколико активности: израда промотивних материјала, рекламирање MEDIA потпрограма и MEDIA деска у каталозима домаћих филмских фестивала, рекламирање, организација 3 промотивна догађаја током следећих догађаја: Fest Forward и два догађаја ће накнадно бити одређени</t>
  </si>
  <si>
    <t xml:space="preserve">Изнајмљивање штанда, опреме и акредитације </t>
  </si>
  <si>
    <t>Пула филм фестивал / Matchmaking forum Пула</t>
  </si>
  <si>
    <t>Matchmaking форум у Пули има за циљ умрежавање, подстицање jачања филмске културе и индустриjе кроз умрежавање и спаjање. Matchmaking форум пружа продуцентима могућност сусрета с више категориjа финансиjера, коjи учествуjу у стварању потребног финансиjског пакета за продукциjу филма. Дистрибутери, продаjни агенти, банке, приватни и jавни инвестициони фондови, региjе и филмске комисиjе, broadcaster-и, интернет платформе... Прво издање Matchmaking форума 2018 настало је у сарадњи: Пула Филм Фестивала, ХАВЦ-а, Авантура Фестивала &amp; Matchmaking Форума, Литванског филмског центра, Филмског центра Грузиjе, Словенског филмског центра, Филмског центра Србиjе, Македонске филмске агенциjе, Филмског центра Црне Горе, Филмског центра Сараjево, Фондациjе за кинематографиjу Сараjево и саjма "Са(н)jам књиге".</t>
  </si>
  <si>
    <t>Авио карте за два представника ФЦС и два продуцента који учествују са пројектима на форуму (Co-Production Market, Work in Progress)</t>
  </si>
  <si>
    <t>25.000 RSD x 4</t>
  </si>
  <si>
    <t>Дневнице за два представника ФЦС</t>
  </si>
  <si>
    <t>15 EUR x 5 дана x 2 представника</t>
  </si>
  <si>
    <t>Пријем који заједно организују сви партнери Matchmaking форума</t>
  </si>
  <si>
    <t xml:space="preserve">Dok Leipzig - промоциjа документарних филмова </t>
  </si>
  <si>
    <t>Путни трошкови (представник ФЦС и представник документариста + 8 продуцента/аутора)</t>
  </si>
  <si>
    <t>170 EUR x 10 особе x 3 ноћења</t>
  </si>
  <si>
    <t>40.000 x 10 особа</t>
  </si>
  <si>
    <t>Дизајн каталога, флајера, roll up</t>
  </si>
  <si>
    <t>Штампање каталога, флајера и roll upa</t>
  </si>
  <si>
    <t>150000 RSD</t>
  </si>
  <si>
    <t>Док Лајпциг је најстарији фестивал документарног и анимираног филма у Европи, који организује Копродуцентски маркет који пружа могућност продуцентима/ауторима документарних и анимираних филмова да имају састанке један на један са осталим продуцентима и ауторима из Европе. Састанци омогућавају да се аутори/продуценти боље повежу и подстиче се стварање дугорочних веза међу њима. Док Лајпциг је фестивал који има у фокусу свог програма откривање нових талената са Балкана. ФЦС би организовао промоцију делегације српских талената.</t>
  </si>
  <si>
    <t>Aкредитације за учеснике</t>
  </si>
  <si>
    <t>350 ЕUR x 4 особе</t>
  </si>
  <si>
    <t>Акредитације за учеснике</t>
  </si>
  <si>
    <t>150 EUR x 10 акредитација</t>
  </si>
  <si>
    <t>КОНКУРСИ - План и програма  2019.</t>
  </si>
  <si>
    <t xml:space="preserve">ДДФ - Дан домаћег филма </t>
  </si>
  <si>
    <t>Биоскопске пројекције филмова о којима се прича</t>
  </si>
  <si>
    <t>Хонорар координатора програма</t>
  </si>
  <si>
    <t>32.100 RSD x 10 месеци</t>
  </si>
  <si>
    <t>Хонорар ПР</t>
  </si>
  <si>
    <t>10.000 RSD x 10 месеци</t>
  </si>
  <si>
    <t>Дизајн плаката</t>
  </si>
  <si>
    <t>Штампа плаката</t>
  </si>
  <si>
    <t>ФБ кампања</t>
  </si>
  <si>
    <t>6.000 RSD x 10 месеци</t>
  </si>
  <si>
    <t xml:space="preserve">Путни трошкови (најам возила са возачем) </t>
  </si>
  <si>
    <t>Гориво</t>
  </si>
  <si>
    <t>2.100 RSD x 10 градова x 12 обилазака</t>
  </si>
  <si>
    <t>Трошкови слања филмова</t>
  </si>
  <si>
    <t>2.000 RSD x 10  месеци</t>
  </si>
  <si>
    <t>Трошкови телефона</t>
  </si>
  <si>
    <t>Трошкови организације</t>
  </si>
  <si>
    <t>5.000 RSD x 10  месеци</t>
  </si>
  <si>
    <t>ДАН ДОМАЋЕГ ФИЛМА је програм посвећен промоцији домаћег филмског стваралаштва. Пројекције  филмова чију је производњу помогао Филмски центар Србије. Представљамо филмове који уобичајено нису на биоскопском репертоару, а који заслужују да буду виђени. После сваке пројекције публика ће бити у прилици да разговара са ауторима филма</t>
  </si>
  <si>
    <t>Хонорар предавача и организатора</t>
  </si>
  <si>
    <t>42.000 RSD x 6 предавача x 2 радионице</t>
  </si>
  <si>
    <t xml:space="preserve">Организација мрежних догађаја, награде и остале услуге из области културе </t>
  </si>
  <si>
    <t>Годишњи оглас у штампаном издању за кански фестивал "World of Locations 2019" SCREEN</t>
  </si>
  <si>
    <t>Котизација за oрганизовање радионице</t>
  </si>
  <si>
    <t>260 EUR x 4 огласа</t>
  </si>
  <si>
    <t>900 EUR x 4 промотивна догађаја</t>
  </si>
  <si>
    <t xml:space="preserve">160 EUR </t>
  </si>
  <si>
    <t>280 EUR</t>
  </si>
  <si>
    <t>550 EUR</t>
  </si>
  <si>
    <t xml:space="preserve">1434 EUR </t>
  </si>
  <si>
    <t>100000 RSD</t>
  </si>
  <si>
    <t>6.400 RSD x 8 градова x 12 обилазака</t>
  </si>
  <si>
    <t xml:space="preserve">77.750 RSD x 12 месеци </t>
  </si>
  <si>
    <t>33000 RSD x 12 месеци</t>
  </si>
  <si>
    <t xml:space="preserve">35.500 RSD x 12 месеци </t>
  </si>
  <si>
    <t>ИЗДАВАШТВО- план и програм 2019.</t>
  </si>
  <si>
    <t>Бранко Вучићевић: COMPLETE WORKS</t>
  </si>
  <si>
    <t>Обим страна: 800</t>
  </si>
  <si>
    <t>Лекутра/коректура</t>
  </si>
  <si>
    <t>Прелом и дизајн</t>
  </si>
  <si>
    <t>Скенирање</t>
  </si>
  <si>
    <t>Вељко Радосављевић: Црни талас у српској кинематографији</t>
  </si>
  <si>
    <t>Обим страна: 550</t>
  </si>
  <si>
    <t>Ауторски хонорар</t>
  </si>
  <si>
    <t>Скенирање постера, фрејмова и фотографија</t>
  </si>
  <si>
    <t xml:space="preserve">Savas Arslan: CINEMA IN TURKEY: A NEW CRITICAL HISTORY </t>
  </si>
  <si>
    <t>(у сарадњи са Амбасадом Републике Турске и Културним центром Јунус Емре, Републике Турске у Београду)</t>
  </si>
  <si>
    <t>Ратко Стојковић: Лексикон филмских стваралаца лаурета</t>
  </si>
  <si>
    <t>Слободан Шијан: Писци у биоскопу: Књижевна историја наших филмских доживљаја  - антологија</t>
  </si>
  <si>
    <t xml:space="preserve">Прелом и дизајн </t>
  </si>
  <si>
    <t>БЕОГРАДСКИ МЕЂУНАРОДНИ САЈАМ КЊИГА 2019.</t>
  </si>
  <si>
    <t>Хонорари особља на штанду</t>
  </si>
  <si>
    <t>Промотивни трошкови (плакати, промоције)</t>
  </si>
  <si>
    <t>ПИЧИНГ: ФИЛМ- КЊИЖЕВНОСТ У СРБИЈИ</t>
  </si>
  <si>
    <t>МОГУЋНОСТ ИНТЕРАКЦИЈЕ</t>
  </si>
  <si>
    <t xml:space="preserve">Путни трошкови </t>
  </si>
  <si>
    <t xml:space="preserve">Ауторски хонорари   </t>
  </si>
  <si>
    <t>150 EUR x 10 учесника</t>
  </si>
  <si>
    <t xml:space="preserve">150 EUR x 10 учесника </t>
  </si>
  <si>
    <t xml:space="preserve">80 EUR x 10 учесника х 2 ноћења </t>
  </si>
  <si>
    <t>1200 EUR</t>
  </si>
  <si>
    <t>3300 EUR</t>
  </si>
  <si>
    <t>2000 EUR</t>
  </si>
  <si>
    <t>1150 EUR</t>
  </si>
  <si>
    <t>4300 EUR</t>
  </si>
  <si>
    <t>800 EUR</t>
  </si>
  <si>
    <t>860 EUR</t>
  </si>
  <si>
    <t>2700 EUR</t>
  </si>
  <si>
    <t>2600 EUR</t>
  </si>
  <si>
    <t>700  EUR</t>
  </si>
  <si>
    <t>650 EUR</t>
  </si>
  <si>
    <t>2150 EUR</t>
  </si>
  <si>
    <t>1300 EUR</t>
  </si>
  <si>
    <t>360 EUR</t>
  </si>
  <si>
    <t>530 EUR</t>
  </si>
  <si>
    <t>580 EUR</t>
  </si>
  <si>
    <t>1800 EUR</t>
  </si>
  <si>
    <t>480 EUR</t>
  </si>
  <si>
    <t>4 x 100 EUR + 45000 РСД</t>
  </si>
  <si>
    <t>Шангај филм маркет и фестивал</t>
  </si>
  <si>
    <t>Преводилац</t>
  </si>
  <si>
    <t>200 ЕUR x 7 дана</t>
  </si>
  <si>
    <t>Превод, дизајн и прелом брошуре на кинески</t>
  </si>
  <si>
    <t>Индијски међународни маркет (IIFTC) / Филмска федерација Индије и FICCI Frames</t>
  </si>
  <si>
    <t xml:space="preserve">Сагласно договору са представницима IIFTC на Канском филмском марткету 2018, договорено је учешће Филмског центра Србије на Индијском међународном филмском маркету, који ће се одржати од 21. до 23. фебруара 2019. године, ради привлачења страних продукција за снимање пројеката на локацијама у Србији, нарочито имајући у виду пореске олакшице које Србија нуди. У том смислу промоција наших локација, сервиса и услуга које пружају домаћи продуценти као и капацитети студија и постпродукционих услуга, била би веома корисна за домаћу филмску индустрију и привреду. Имајући у виду новоуведени безвизни режим ка Индији и прошлогодишњи наступ ФЦС-а у сарадњи са Амбасадом РС у Индији даље улагање у ово тржиште је већ резултирало повећањем броја пројеката који су снимани у Србији у току 2018. године због чега je значајно учешће на националној конференцији Филмске и медијске индустрије FICCI Frames, који се дешава неколико дана након IIFTC и окупља око 2.000 учесника из свих сфера филмске, телевизијске и дигиталне продукције садржаја.  </t>
  </si>
  <si>
    <t>Акредитације за FICCI</t>
  </si>
  <si>
    <t>250 ЕUR x 2 особе</t>
  </si>
  <si>
    <t>140.000 RSD x 2 oсобе</t>
  </si>
  <si>
    <t>Хотел IIFTC</t>
  </si>
  <si>
    <t>Хотел FICCI Frames</t>
  </si>
  <si>
    <t>130 EUR x 5 ноћи x 2 особе</t>
  </si>
  <si>
    <t>15 EUR x 10 дана x 2 особе</t>
  </si>
  <si>
    <t>CPH: DOX </t>
  </si>
  <si>
    <t>CPH: DOX jе званично име Међународног фестивала документарних филмова у Копенхагену. Ово jе наjвећи фестивал документарних филмова у Скандинавиjи, и jедан од наjутицаjниjих фестивала документарних филмова у свету. Фокус фестивала jе на независни документарни филм коjи се одликуjе иновативним приступом, као и на експерименталне и хибридне филмове. Паралелно са фестивалом се одржаваjу индустри програми: CPH FORUM, CPH Conference, CPH Academy, CPH LAB i SCIENCE FILM FORUM и други. Фестивал ће се у 2019. години одржати у периоду од 20. до 31. марта 2019. године</t>
  </si>
  <si>
    <t>Путни трошкови (представник ФЦС и представник документариста + 9 продуцента/аутора)</t>
  </si>
  <si>
    <t>100 EUR x 10 особа x 4 ноћења</t>
  </si>
  <si>
    <t>Акредитације за учеснике (делегација од 10 учесника)</t>
  </si>
  <si>
    <t>40.000 RSD x 10 oсоба</t>
  </si>
  <si>
    <t xml:space="preserve">Програм FACTORY у оквиру програма ”15 дана аутора у Кану”  </t>
  </si>
  <si>
    <r>
      <rPr>
        <sz val="12"/>
        <rFont val="Arial Narrow"/>
        <family val="2"/>
      </rPr>
      <t>Куратор програма ”Factory” Доминик Велински предложила је да 12 редитеља са Блакана продуцирају, развију и сниме свој краткометражни филм у трајању од 6-12 минута. Идеја је да 6 редитеља са Балкана заједно са 6 међународних редитеља сниме кратке филмове. Редитељи са Балкана су из следећих земаља: Босна и Херцеговина, Хрватска, Македонија, Црна Гора Словенија и Србија</t>
    </r>
    <r>
      <rPr>
        <b/>
        <sz val="12"/>
        <rFont val="Arial Narrow"/>
        <family val="2"/>
      </rPr>
      <t xml:space="preserve">. </t>
    </r>
    <r>
      <rPr>
        <sz val="12"/>
        <rFont val="Arial Narrow"/>
        <family val="2"/>
      </rPr>
      <t xml:space="preserve">Филмови би били приказани на отварању програма ”15 дана аутора” у Кану 2019 године. </t>
    </r>
  </si>
  <si>
    <t>Учешће у програму и котизација за снимање филма</t>
  </si>
  <si>
    <t>37.000 ЕUR</t>
  </si>
  <si>
    <t>Конкурс за оригиналну идеју за реализацију дугометражног играног филмског пројекта који приказује везу између српског и иранског народа</t>
  </si>
  <si>
    <t>5) Српски филмски фестивал у Торонту</t>
  </si>
  <si>
    <t>Филмски центар Србиjе  и струковно удружење документариста, ДокСрбиjа организуjу два пута годишње (пролеће и jесен) тродневне едукативне радионице за подизање капацитета у области продукциjе документарних филмова. Радионице су фокусиране на писање и “паковање” проjеката документарних филмова, jеднако за домаће и међународне конкурсе, као и за пласман на интернационалним маркетима.</t>
  </si>
  <si>
    <t>Експериментални филм и видео арт</t>
  </si>
  <si>
    <t>Филмски центар Србије  током 2019. године намерава да распише конкурсе у 20 конкурсних категорија. Неке од конкурсних категорија биће расписане и два пута у току године. Наставља се са расписивањем конкурса у категоријама за националну тему и комерцијални репертоарски филм. Први пут, у току 2019. биће расписан конкурс за дебитантски филм. Почев од 2017. године, а по налогу Државне ревизије, Филмски центар Србије уплаћује  средства добитницима на рачуне отворене код Управе за трезора За све конкурсне категорије, осим дугметражног играног филма, уплаћују се комплетна средства. Начин финансирања дугометражних играних филмова подразумева вишегодишње планирање средстава.</t>
  </si>
  <si>
    <t>Фонд за подршку, подстицање и промоцију српског филма у земљи и свету</t>
  </si>
  <si>
    <t>52.000 EUR</t>
  </si>
  <si>
    <t>Подршка "industry" сектору домаћих филмских фестивала</t>
  </si>
  <si>
    <t xml:space="preserve">Имајући у виду да је у данашње време такозвани "industry" сектор неодвојиви део сваког важнијег филмског фестивала, идеја је да се овај сектор подржи како у оперативном, тако и у финансијском смислу. Поштујући конкурс Министарства културе и информисања за подршку фестивалима, ФЦС би се искључиво усмерио на подршку организацији копродукцијских маркета, креативних и едукативних радионица, предавања, професионалних састанака и умрежавања који се организују током трајања фестивала. Постојање квалитеног "industry" сектора у оквиру датог фестивала, значи присуство већег броја филмских професионалаца из Европе и света и самим тим се пружа могућност домаћим филмским професионалцима за бољим и квалитетнијим умрежавањем и отварају се врата за нове копродукције, европску или светску дистрибуцију, учешће на међународним фестивалима што све наравно продразумева промоцију српског филма и филмске индустрије. Одређен број домаћих фестивала је схватио значај професионалног сектора фестивала и уз подршку ФЦС оргранизова радионице, предавања, представљање пројеката... У плану нам је да се фокусирамо на два домаћа фестивала која још увек немају развијен  "industry" сектор и поставимо основе које бисмо надограђивали у наредним издањима. У обзир би дошли фестивали у Нишу, Врњачкој Бањи... </t>
  </si>
  <si>
    <t xml:space="preserve">    Наредна година би требало да буде кључна како у раду Филмског центра Србије тако и за целокупни домаћи аудио визуелни сектор који би се позиционирао као један од најважнијих у региону. 
    У протеклe две године усталили смо редовност конкурса, покренули копродукције, утростручили наше учешће у међународним организацијама и телима као и наше присуство на престижним међународним фестивалима, успешно спровели уредбу о пореским олакшицама чиме остварујемо све боље резултате за привреду Србије, наше присуство и рад у МЕДИА програму и EURоимажу су запажени и профитабилни, склопили смо неколико међународних уговора од којих је најважнији онај са француским СNС-ом који ће нам тек отворити врата Европске кинематографије. Све то, као и ранији успеси скренули су пажњу на Србију у Европском контексту и сада се налазимо у ситуцији када је неопходно да направимо одлучујући корак у позиционирању Србије као лидера у домену аудио визуелних делатности у региону  југоисточне Европе.  То посебно има смисла јер је ситуација у окружењу таква да пројекти и стратегија Србије остављају тренутно  утисак најздравијих и најстабилнијих те то треба искористити. 
   Стога је и овогодишњи буџет амбициознији но претходних година, девет десетина је намењено конкурсима, остатак осталим активностима где је посебан акценат стављен на присуство на међународној сцени и на едукативним активностима.  Овако конципираним буџетом са једне стране желимо да очврснемо и стабилизујемо домаћу продукцију (пре но што се усвајањем закона о кинематографији промени начин финансирања целокупног сектора), а са друге стране омогућимо наше позиционирање на међународној сцени. У оквиру овог позиционирања посебан акценат стављамо на сарадњу са Италијом, две едукативне радионице (EAVE, Maia Workshop) које између осталог треба да допринесу ширем умрежавању Филмског центра Србије у европски кинематографски контекст. Такође, у циљу афирмације српских кинематографских потенцијала појачали смо нашу стратегију да наше филмске локације учинимо привлачним. Тако су већ заживели облици сарадње са Индијом а изгледна је сарадња са НР Кином и Америком.
</t>
  </si>
  <si>
    <t xml:space="preserve">Средства којима jе омогућена стална подршка нашим ауторима и њиховим филмовима на наступима на међународним фестивалима и пичинг сесијама и радионицама. Намера је овог фонда да буде флексибилан и ефикасан, лако доступан на кратке рокове с обзиром да је немогуће планирати све оне позиве на фестивале и пичинг сесије. Фонд укључује пичинге, награде, путне трошкове, репрезентацију, тренинг и друго и подељен је у основне групе:
- Авионске карте / смештај за редитеља/продуцента (и у изузетним случаjевима неким другим члановима филмске екипе) за  пут на фестивал уколико jе филм у неком од званичних програма: Berlin, Kan, Venecija, Sandens, IDFA (Amsterdam), Peking, Moskva, Toronto, Montreal, Sarajevo, Pula, Thessaloniki, Sofia, Tokio, Shanghai, Busan, Roterdam, Leipzig, San Sebastian, Karlovy Vary, Les Arcs, Dok Lepizig, Warsaw..., као и за учешће на пичинзима и радионицама и копродукциjским маркетима: EAVE, Maia Workshops, Torino Film Lab, Berlinale Coproduction Market, Cinemart, Sofia Meetings, Toronto Producers Lab, MEDICI, AGORA Meetings Thessaloniki, Les Arcs, MFI Script, Leipzig Dok Copro market, CPH:LAB, IDFA, Lorcarno Step in, EX Oriente, Sundance Scriptwriters Lab, EURODOC, ACE, Erich Prommer Institute courses, First Film First, FILM TEEP (Film Training for East European Professionals), EP2C, Cartoon 360, EFA Master Class, VFX Script to Screen. Такође и авионске карте за стране експерте, селекторе/директоре фестивала, представнике фондова, продуценте и остале филмске професионалце коjи су значаjни за домаће ауторе и српску кинематографиjу уопште. 
- Котизациjа за поменуте радионице
- Пријеми у част српских филмова подразумевају организовање пријема на неком од значајних светских филмских фестивала уколико је филм из Србије ушао у један од званичних програма и сматра се да је неопходно филм додатно подржати
- У случају одржавања неке од радионица у Србији отвара се могућност за довођење експерата који би домаћим филмским профестионалцима омогућили посебне тренинге и ускостручна саветовања. 
- Поред филмских маркета у Берлину и Кану, ФЦС унапређуjе учешће аутора на маркетима филмских проjеката и филмским форумима у оквиру филмских фестивала. Поред продуцента и редитеља, маркети проjеката одлична су платформа за партнерске односе ФЦС са сродним институциjама, као и са иностраним ауторима проjеката коjима се представља кjонкурс ФЦС за мањинске копродукциjе и начини аплицирања.                            - У плану за 2019. годину је ближа сарадња и ”улазак” на неколико стратешки значајних филмских фестивала и радионица, па је у том смислу овај фонд веома значајан. Планирамо да током ФЕСТ Форварда доведемо руководоце Industry секције  Сан Себастиана и Ротердама и са њима покушамо да договоримо посебан програм који би се фокусирао на српски филм. Сан Себастиан је генерално окренут латино филму нарочито имајући у виду да је програм "Films in progress" резервисан искључиво за филмове из Латинске Америке, тако да ће ”улазак” свакако бити тежи него на Ротердам. Што се Ротердама тиче, идеја је да као први корак, током IFFR PRO Days организујемо један дан који би било посвећен српској филмској индустрији, где бисмо могли чак да укључимо и младе филмске критичаре с обизром на већ постојећу радионицу ”Young Film Critics". Идеја нам је такође да ове године ставимо акценат на промоцију краткометражних филмова па бисмо се  свакако усмерили на пар водећих европских фестивала кратког метра, с тим што би нам Clermont-Ferrand био најзначајнији из више разлога: на самом почетку године је (почетак фебруара), у оквиру фестивала се одржава и најзначајнији маркет краткометражног филма, а такође се одржава непосредно пре Берлинског маркета што је идеално за финализирање договора. </t>
  </si>
  <si>
    <t xml:space="preserve">Копродукциони форум When East Мeets West - WEMW се одржава у оквиру Међународног филмског фестивала у Трсту уз помоћ FVG Аудио визуалног фонда уз подршку Креативне Европе, Италиjанског министарства културе а у сарадњи са EAVE, већ дуги низ година. Главни циљ организовањa Форума WEMW, у сарадњи са ФЦС, доноси могућност да продуценти и проjекти из Србиjе који на њему учествују, стекну прилику да усаврше своја стручна знања и вештине, као и да стекну пословне контакте на међународном нивоу. За проjкте коjи су у развоjу отвара се могућност за међународне копродукциjе. На форуму годишње се окупља око 400 филмских професионалаца из целе Европе. ФЦС jе заступљен као партнер на свим брошурама и у свим програмима форума.
</t>
  </si>
  <si>
    <t xml:space="preserve">Шангајски филмски фестивал и маркет одржава се средином јуна 2019. године и растуће je тржиште за продукције које разматрају снимање ван Кинеске територије. Захваљујући безвизном режиму и подстицајима Министарства privrede Србија има значајну конкурентску предност за активнију сарадњу са великим тржиштем Кине. Србија има прилику да у оквиру постојећег Европског павиљона на коме се сваке године представља око 10 земаља из Европе учествује на маркету, како у циљу промоције снимања у Србији, тако и у пласирању српских филмова на кинеско тржиште.
Како се сарадња на пољу филма са Кином све више оснажује (реципрочне посете филмских делегација и високих државних представника филма, реципрочне ревије кинеско-српских филмова, Конкус за оригиналну идеју за дугометражни играни филм који приказује везу између српског и кинеско народа) ФЦС има стратешки план да пласира своје локације на великом филмском кинеском тржишту. 
</t>
  </si>
  <si>
    <t>Дугометражни играни филм за децу и омладину</t>
  </si>
  <si>
    <t>Дебитантски дугометражни  филм</t>
  </si>
  <si>
    <t>Годишња скупштине ИМАГО (Европска федерација директора фотографије)</t>
  </si>
  <si>
    <t>Од земље-домаћина се очекује организационо, логистичко и и делимично финансијско учешће у организацији годишње скупштине ИМАГО и гала-свечаности доделе ИМАГО награда. Укупни организациони трошкови целог догађаја износе приближно 155.000 ЕУР. Од земље-домаћина се очекује учешће  од 30 % односно 40.000 ЕУР који ће бити утрошени у нашој земљи на трошкове смештаја, исхране и превоза гостију из целог света као и трошкове неопходних људских и техничких ресурса за одржавање гала-свечаности доделе ИМАГО награда. Осим чињенице да ће представљати тачку окупљања и размене искустава директора фотографије из Европе, овај догађај би био идеална прилика да се гостима представе локације, капацитети и инфраструктура за снимање у Србији - нарочито у односу на подстицаје за  снимање у нашој земљи у износу 25%.</t>
  </si>
  <si>
    <t>Учешће земље домаћина</t>
  </si>
  <si>
    <t>40.000 ЕУР</t>
  </si>
  <si>
    <t>Отпремнина приликом одласка у пензију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</si>
</sst>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 &quot;RSD&quot;_);[Red]\(#,##0\ &quot;RSD&quot;\)"/>
  </numFmts>
  <fonts count="18"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name val="Arial Narrow"/>
      <family val="2"/>
    </font>
    <font>
      <b/>
      <sz val="12"/>
      <name val="Arial Narrow"/>
      <family val="2"/>
    </font>
    <font>
      <sz val="12"/>
      <color theme="1"/>
      <name val="Calibri"/>
      <family val="2"/>
      <scheme val="minor"/>
    </font>
    <font>
      <sz val="10"/>
      <name val="Arial"/>
      <family val="2"/>
    </font>
    <font>
      <b/>
      <sz val="14"/>
      <name val="Arial Narrow"/>
      <family val="2"/>
    </font>
    <font>
      <sz val="12"/>
      <color rgb="FF9C0006"/>
      <name val="Calibri"/>
      <family val="2"/>
      <scheme val="minor"/>
    </font>
    <font>
      <sz val="12"/>
      <name val="Calibri"/>
      <family val="2"/>
      <scheme val="minor"/>
    </font>
    <font>
      <b/>
      <i/>
      <sz val="12"/>
      <name val="Arial Narrow"/>
      <family val="2"/>
      <charset val="238"/>
    </font>
    <font>
      <b/>
      <sz val="13"/>
      <name val="Arial Narrow"/>
      <family val="2"/>
    </font>
    <font>
      <b/>
      <sz val="12"/>
      <name val="Helvetica"/>
      <family val="2"/>
    </font>
    <font>
      <sz val="14"/>
      <name val="Times New Roman"/>
      <family val="1"/>
    </font>
    <font>
      <sz val="14"/>
      <name val="Symbol"/>
      <charset val="2"/>
    </font>
    <font>
      <b/>
      <sz val="14"/>
      <name val="Calibri"/>
      <family val="2"/>
      <scheme val="minor"/>
    </font>
    <font>
      <sz val="14"/>
      <name val="Calibri"/>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C7CE"/>
      </patternFill>
    </fill>
    <fill>
      <patternFill patternType="solid">
        <fgColor rgb="FFC0C0C0"/>
        <bgColor rgb="FF000000"/>
      </patternFill>
    </fill>
    <fill>
      <patternFill patternType="solid">
        <fgColor rgb="FFBFBFBF"/>
        <bgColor rgb="FF000000"/>
      </patternFill>
    </fill>
  </fills>
  <borders count="1">
    <border>
      <left/>
      <right/>
      <top/>
      <bottom/>
      <diagonal/>
    </border>
  </borders>
  <cellStyleXfs count="74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6" fillId="0" borderId="0" applyFont="0" applyFill="0" applyBorder="0" applyAlignment="0" applyProtection="0"/>
    <xf numFmtId="0" fontId="7" fillId="0" borderId="0"/>
    <xf numFmtId="0" fontId="7" fillId="0" borderId="0"/>
    <xf numFmtId="0" fontId="9" fillId="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7">
    <xf numFmtId="0" fontId="0" fillId="0" borderId="0" xfId="0"/>
    <xf numFmtId="0" fontId="5" fillId="0" borderId="0" xfId="0" applyFont="1" applyFill="1" applyBorder="1" applyAlignment="1">
      <alignment horizontal="right" vertical="top" wrapText="1"/>
    </xf>
    <xf numFmtId="0" fontId="5" fillId="0" borderId="0" xfId="0" applyFont="1" applyFill="1" applyBorder="1" applyAlignment="1">
      <alignment horizontal="right" vertical="center" wrapText="1"/>
    </xf>
    <xf numFmtId="0" fontId="4" fillId="0" borderId="0" xfId="0" applyFont="1"/>
    <xf numFmtId="3" fontId="4" fillId="0" borderId="0" xfId="0" applyNumberFormat="1" applyFont="1" applyAlignment="1">
      <alignment horizontal="left" vertical="center" wrapText="1"/>
    </xf>
    <xf numFmtId="0" fontId="4" fillId="0" borderId="0" xfId="0" applyFont="1" applyAlignment="1">
      <alignment vertical="center" wrapText="1"/>
    </xf>
    <xf numFmtId="4" fontId="4" fillId="0" borderId="0" xfId="0" applyNumberFormat="1" applyFont="1" applyAlignment="1">
      <alignment horizontal="right" vertical="center" wrapText="1"/>
    </xf>
    <xf numFmtId="4" fontId="5" fillId="0" borderId="0" xfId="0" applyNumberFormat="1" applyFont="1" applyAlignment="1">
      <alignment horizontal="right" vertical="center" wrapText="1"/>
    </xf>
    <xf numFmtId="4" fontId="4" fillId="0" borderId="0" xfId="0" applyNumberFormat="1" applyFont="1" applyAlignment="1">
      <alignment wrapText="1"/>
    </xf>
    <xf numFmtId="3" fontId="4" fillId="0" borderId="0" xfId="0" applyNumberFormat="1" applyFont="1" applyAlignment="1">
      <alignment wrapText="1"/>
    </xf>
    <xf numFmtId="3" fontId="4" fillId="0" borderId="0" xfId="0" applyNumberFormat="1" applyFont="1" applyAlignment="1">
      <alignment vertical="center" wrapText="1"/>
    </xf>
    <xf numFmtId="4" fontId="5" fillId="0" borderId="0" xfId="0" applyNumberFormat="1" applyFont="1" applyAlignment="1">
      <alignment wrapText="1"/>
    </xf>
    <xf numFmtId="0" fontId="5" fillId="0" borderId="0" xfId="0" applyFont="1" applyAlignment="1">
      <alignment horizontal="right" vertical="top" wrapText="1"/>
    </xf>
    <xf numFmtId="4" fontId="4" fillId="0" borderId="0" xfId="0" applyNumberFormat="1" applyFont="1" applyAlignment="1">
      <alignment vertical="center" wrapText="1"/>
    </xf>
    <xf numFmtId="3" fontId="5" fillId="0" borderId="0" xfId="0" applyNumberFormat="1" applyFont="1" applyAlignment="1">
      <alignment horizontal="right" vertical="center" wrapText="1"/>
    </xf>
    <xf numFmtId="4" fontId="4" fillId="0" borderId="0" xfId="0" applyNumberFormat="1" applyFont="1" applyFill="1" applyAlignment="1">
      <alignment horizontal="right" vertical="center" wrapText="1"/>
    </xf>
    <xf numFmtId="3" fontId="4" fillId="0" borderId="0" xfId="0" applyNumberFormat="1" applyFont="1" applyFill="1" applyAlignment="1">
      <alignment vertical="center" wrapText="1"/>
    </xf>
    <xf numFmtId="0" fontId="4" fillId="0" borderId="0" xfId="0" applyFont="1" applyFill="1" applyAlignment="1">
      <alignment vertical="center" wrapText="1"/>
    </xf>
    <xf numFmtId="4" fontId="4" fillId="0" borderId="0" xfId="0" applyNumberFormat="1" applyFont="1" applyFill="1" applyAlignment="1">
      <alignment wrapText="1"/>
    </xf>
    <xf numFmtId="0" fontId="4" fillId="0" borderId="0" xfId="0" applyFont="1" applyFill="1" applyAlignment="1">
      <alignment wrapText="1"/>
    </xf>
    <xf numFmtId="4" fontId="5" fillId="0" borderId="0" xfId="0" applyNumberFormat="1" applyFont="1" applyFill="1" applyAlignment="1">
      <alignment horizontal="right" vertical="center" wrapText="1"/>
    </xf>
    <xf numFmtId="0" fontId="5" fillId="0" borderId="0" xfId="0" applyFont="1" applyAlignment="1">
      <alignment horizontal="right" vertical="center" wrapText="1"/>
    </xf>
    <xf numFmtId="0" fontId="5" fillId="0" borderId="0" xfId="0" applyFont="1" applyFill="1" applyAlignment="1">
      <alignment horizontal="right" vertical="center" wrapText="1"/>
    </xf>
    <xf numFmtId="0" fontId="5" fillId="0" borderId="0" xfId="0" applyFont="1" applyAlignment="1">
      <alignment wrapText="1"/>
    </xf>
    <xf numFmtId="164" fontId="4" fillId="0" borderId="0" xfId="0" applyNumberFormat="1" applyFont="1" applyAlignment="1">
      <alignment horizontal="left" wrapText="1"/>
    </xf>
    <xf numFmtId="164" fontId="4" fillId="0" borderId="0" xfId="0" applyNumberFormat="1" applyFont="1" applyAlignment="1">
      <alignment horizontal="left" vertical="center" wrapText="1"/>
    </xf>
    <xf numFmtId="4" fontId="4" fillId="0" borderId="0" xfId="0" applyNumberFormat="1" applyFont="1" applyFill="1" applyBorder="1" applyAlignment="1">
      <alignment wrapText="1"/>
    </xf>
    <xf numFmtId="0" fontId="5" fillId="0" borderId="0" xfId="0" applyFont="1" applyAlignment="1">
      <alignment horizontal="left" vertical="top" wrapText="1"/>
    </xf>
    <xf numFmtId="3" fontId="4" fillId="0" borderId="0" xfId="0" applyNumberFormat="1" applyFont="1" applyAlignment="1">
      <alignment horizontal="right" vertical="center" wrapText="1"/>
    </xf>
    <xf numFmtId="3" fontId="4" fillId="0" borderId="0" xfId="0" applyNumberFormat="1" applyFont="1" applyAlignment="1">
      <alignment horizontal="left" vertical="top" wrapText="1"/>
    </xf>
    <xf numFmtId="4" fontId="4" fillId="0" borderId="0" xfId="0" applyNumberFormat="1" applyFont="1" applyFill="1" applyAlignment="1">
      <alignment vertical="center" wrapText="1"/>
    </xf>
    <xf numFmtId="4" fontId="5" fillId="0" borderId="0" xfId="0" applyNumberFormat="1" applyFont="1" applyFill="1" applyAlignment="1">
      <alignment vertical="top" wrapText="1"/>
    </xf>
    <xf numFmtId="4" fontId="5" fillId="0" borderId="0" xfId="0" applyNumberFormat="1" applyFont="1" applyFill="1" applyAlignment="1">
      <alignment wrapText="1"/>
    </xf>
    <xf numFmtId="4" fontId="4" fillId="0" borderId="0" xfId="0" applyNumberFormat="1" applyFont="1"/>
    <xf numFmtId="0" fontId="4" fillId="0" borderId="0" xfId="0" applyFont="1" applyFill="1" applyAlignment="1">
      <alignment horizontal="left" vertical="center" wrapText="1"/>
    </xf>
    <xf numFmtId="4" fontId="5" fillId="0" borderId="0" xfId="0" applyNumberFormat="1" applyFont="1" applyFill="1" applyAlignment="1">
      <alignment vertical="center" wrapText="1"/>
    </xf>
    <xf numFmtId="3" fontId="4" fillId="0" borderId="0" xfId="0" applyNumberFormat="1" applyFont="1" applyAlignment="1">
      <alignment horizontal="left" wrapText="1"/>
    </xf>
    <xf numFmtId="0" fontId="5" fillId="4" borderId="0" xfId="0" applyFont="1" applyFill="1" applyAlignment="1">
      <alignment horizontal="right" wrapText="1"/>
    </xf>
    <xf numFmtId="4" fontId="4" fillId="4" borderId="0" xfId="0" applyNumberFormat="1" applyFont="1" applyFill="1" applyAlignment="1">
      <alignment wrapText="1"/>
    </xf>
    <xf numFmtId="4" fontId="5" fillId="4" borderId="0" xfId="0" applyNumberFormat="1" applyFont="1" applyFill="1" applyAlignment="1">
      <alignment wrapText="1"/>
    </xf>
    <xf numFmtId="0" fontId="4" fillId="0" borderId="0" xfId="0" applyFont="1" applyFill="1" applyAlignment="1">
      <alignment horizontal="left" wrapText="1"/>
    </xf>
    <xf numFmtId="0" fontId="5" fillId="0" borderId="0" xfId="0" applyFont="1" applyAlignment="1">
      <alignment horizontal="right" vertical="center"/>
    </xf>
    <xf numFmtId="0" fontId="5" fillId="2" borderId="0" xfId="0" applyFont="1" applyFill="1" applyAlignment="1">
      <alignment horizontal="right" vertical="center" wrapText="1"/>
    </xf>
    <xf numFmtId="0" fontId="5" fillId="2" borderId="0" xfId="0" applyFont="1" applyFill="1" applyAlignment="1">
      <alignment vertical="center" wrapText="1"/>
    </xf>
    <xf numFmtId="4" fontId="4" fillId="2" borderId="0" xfId="0" applyNumberFormat="1" applyFont="1" applyFill="1" applyAlignment="1">
      <alignment vertical="center"/>
    </xf>
    <xf numFmtId="4" fontId="5" fillId="2" borderId="0" xfId="0" applyNumberFormat="1" applyFont="1" applyFill="1" applyAlignment="1">
      <alignment vertical="center" wrapText="1"/>
    </xf>
    <xf numFmtId="0" fontId="4" fillId="0" borderId="0" xfId="0" applyFont="1" applyAlignment="1">
      <alignment vertical="center"/>
    </xf>
    <xf numFmtId="4" fontId="4" fillId="4" borderId="0" xfId="0" applyNumberFormat="1" applyFont="1" applyFill="1"/>
    <xf numFmtId="0" fontId="5" fillId="0" borderId="0" xfId="0" applyFont="1" applyFill="1" applyBorder="1" applyAlignment="1">
      <alignment horizontal="left" vertical="top" wrapText="1"/>
    </xf>
    <xf numFmtId="0" fontId="5" fillId="0" borderId="0" xfId="0" applyFont="1" applyFill="1" applyBorder="1" applyAlignment="1">
      <alignment vertical="center" wrapText="1"/>
    </xf>
    <xf numFmtId="4" fontId="4" fillId="0" borderId="0" xfId="0" applyNumberFormat="1" applyFont="1" applyFill="1" applyBorder="1" applyAlignment="1">
      <alignment vertical="center" wrapText="1"/>
    </xf>
    <xf numFmtId="4" fontId="5" fillId="0" borderId="0" xfId="0" applyNumberFormat="1"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4" fontId="5" fillId="0" borderId="0" xfId="0" applyNumberFormat="1" applyFont="1" applyFill="1" applyBorder="1" applyAlignment="1">
      <alignment horizontal="right" vertical="top" wrapText="1"/>
    </xf>
    <xf numFmtId="4" fontId="4" fillId="0" borderId="0" xfId="0" applyNumberFormat="1" applyFont="1" applyFill="1" applyAlignment="1">
      <alignment horizontal="right" vertical="top" wrapText="1"/>
    </xf>
    <xf numFmtId="0" fontId="5" fillId="3" borderId="0" xfId="0" applyFont="1" applyFill="1" applyAlignment="1">
      <alignment horizontal="right" vertical="center" wrapText="1"/>
    </xf>
    <xf numFmtId="4" fontId="4" fillId="3" borderId="0" xfId="0" applyNumberFormat="1" applyFont="1" applyFill="1" applyAlignment="1">
      <alignment wrapText="1"/>
    </xf>
    <xf numFmtId="4" fontId="5" fillId="3" borderId="0" xfId="0" applyNumberFormat="1" applyFont="1" applyFill="1" applyAlignment="1">
      <alignment horizontal="right" vertical="center" wrapText="1"/>
    </xf>
    <xf numFmtId="0" fontId="5" fillId="0" borderId="0" xfId="0" applyFont="1"/>
    <xf numFmtId="4" fontId="4" fillId="0" borderId="0" xfId="460" applyNumberFormat="1" applyFont="1" applyFill="1" applyAlignment="1">
      <alignment horizontal="right" vertical="center" wrapText="1"/>
    </xf>
    <xf numFmtId="0" fontId="4" fillId="0" borderId="0" xfId="0" applyFont="1" applyFill="1" applyAlignment="1">
      <alignment vertical="center"/>
    </xf>
    <xf numFmtId="0" fontId="4" fillId="0" borderId="0" xfId="460" applyFont="1" applyFill="1" applyAlignment="1">
      <alignment vertical="center"/>
    </xf>
    <xf numFmtId="0" fontId="4" fillId="0" borderId="0" xfId="460" applyFont="1" applyFill="1" applyAlignment="1">
      <alignment vertical="center" wrapText="1"/>
    </xf>
    <xf numFmtId="4" fontId="5" fillId="0" borderId="0" xfId="0" applyNumberFormat="1" applyFont="1"/>
    <xf numFmtId="0" fontId="11" fillId="0" borderId="0" xfId="0" applyFont="1" applyAlignment="1">
      <alignment vertical="center" wrapText="1"/>
    </xf>
    <xf numFmtId="0" fontId="5" fillId="0" borderId="0" xfId="0" applyFont="1" applyFill="1" applyAlignment="1">
      <alignment horizontal="right" vertical="top" wrapText="1"/>
    </xf>
    <xf numFmtId="0" fontId="5" fillId="0" borderId="0" xfId="0" applyFont="1" applyAlignment="1"/>
    <xf numFmtId="0" fontId="5" fillId="6" borderId="0" xfId="0" applyFont="1" applyFill="1" applyAlignment="1">
      <alignment horizontal="right" vertical="center" wrapText="1"/>
    </xf>
    <xf numFmtId="0" fontId="5" fillId="6" borderId="0" xfId="0" applyFont="1" applyFill="1" applyAlignment="1">
      <alignment vertical="center" wrapText="1"/>
    </xf>
    <xf numFmtId="4" fontId="4" fillId="6" borderId="0" xfId="0" applyNumberFormat="1" applyFont="1" applyFill="1" applyAlignment="1">
      <alignment vertical="center"/>
    </xf>
    <xf numFmtId="4" fontId="5" fillId="6" borderId="0" xfId="0" applyNumberFormat="1" applyFont="1" applyFill="1" applyAlignment="1">
      <alignment vertical="center" wrapText="1"/>
    </xf>
    <xf numFmtId="0" fontId="12" fillId="0" borderId="0" xfId="0" applyFont="1" applyAlignment="1">
      <alignment wrapText="1"/>
    </xf>
    <xf numFmtId="4" fontId="8" fillId="0" borderId="0" xfId="0" applyNumberFormat="1" applyFont="1"/>
    <xf numFmtId="3" fontId="5" fillId="0" borderId="0" xfId="458" applyNumberFormat="1" applyFont="1" applyFill="1" applyBorder="1" applyAlignment="1">
      <alignment horizontal="left" vertical="center"/>
    </xf>
    <xf numFmtId="49" fontId="5" fillId="0" borderId="0" xfId="458" applyNumberFormat="1" applyFont="1" applyFill="1" applyBorder="1" applyAlignment="1">
      <alignment horizontal="center" vertical="center" wrapText="1"/>
    </xf>
    <xf numFmtId="3" fontId="5" fillId="0" borderId="0" xfId="458" applyNumberFormat="1" applyFont="1" applyFill="1" applyBorder="1" applyAlignment="1">
      <alignment horizontal="center" vertical="center"/>
    </xf>
    <xf numFmtId="3" fontId="5" fillId="0" borderId="0" xfId="458" applyNumberFormat="1" applyFont="1" applyFill="1" applyBorder="1" applyAlignment="1">
      <alignment horizontal="center" vertical="center" wrapText="1"/>
    </xf>
    <xf numFmtId="3" fontId="5" fillId="0" borderId="0" xfId="458" applyNumberFormat="1" applyFont="1" applyFill="1" applyBorder="1" applyAlignment="1">
      <alignment vertical="center" wrapText="1"/>
    </xf>
    <xf numFmtId="3" fontId="5" fillId="0" borderId="0" xfId="459" applyNumberFormat="1" applyFont="1" applyFill="1" applyBorder="1" applyAlignment="1">
      <alignment vertical="center"/>
    </xf>
    <xf numFmtId="0" fontId="4" fillId="0" borderId="0" xfId="458" applyFont="1" applyFill="1" applyBorder="1" applyAlignment="1">
      <alignment horizontal="left" vertical="center" wrapText="1"/>
    </xf>
    <xf numFmtId="4" fontId="4" fillId="0" borderId="0" xfId="459" applyNumberFormat="1" applyFont="1" applyFill="1" applyBorder="1" applyAlignment="1" applyProtection="1">
      <alignment vertical="center"/>
      <protection locked="0"/>
    </xf>
    <xf numFmtId="4" fontId="5" fillId="0" borderId="0" xfId="459" applyNumberFormat="1" applyFont="1" applyFill="1" applyBorder="1" applyAlignment="1">
      <alignment vertical="center"/>
    </xf>
    <xf numFmtId="0" fontId="4" fillId="0" borderId="0" xfId="458" applyFont="1" applyFill="1" applyBorder="1" applyAlignment="1">
      <alignment vertical="center" wrapText="1"/>
    </xf>
    <xf numFmtId="0" fontId="4" fillId="0" borderId="0" xfId="458" applyFont="1" applyFill="1" applyBorder="1" applyAlignment="1">
      <alignment vertical="center"/>
    </xf>
    <xf numFmtId="0" fontId="5" fillId="0" borderId="0" xfId="458" applyFont="1" applyFill="1" applyBorder="1" applyAlignment="1">
      <alignment vertical="center"/>
    </xf>
    <xf numFmtId="4" fontId="5" fillId="0" borderId="0" xfId="459" applyNumberFormat="1" applyFont="1" applyFill="1" applyBorder="1" applyAlignment="1" applyProtection="1">
      <alignment vertical="center"/>
    </xf>
    <xf numFmtId="0" fontId="5" fillId="0" borderId="0" xfId="458" applyFont="1" applyFill="1" applyBorder="1" applyAlignment="1">
      <alignment vertical="center" wrapText="1"/>
    </xf>
    <xf numFmtId="0" fontId="4" fillId="3" borderId="0" xfId="458" applyFont="1" applyFill="1" applyBorder="1" applyAlignment="1">
      <alignment vertical="center" wrapText="1"/>
    </xf>
    <xf numFmtId="4" fontId="4" fillId="3" borderId="0" xfId="459" applyNumberFormat="1" applyFont="1" applyFill="1" applyBorder="1" applyAlignment="1" applyProtection="1">
      <alignment vertical="center"/>
      <protection locked="0"/>
    </xf>
    <xf numFmtId="4" fontId="4" fillId="3" borderId="0" xfId="0" applyNumberFormat="1" applyFont="1" applyFill="1"/>
    <xf numFmtId="0" fontId="12" fillId="0" borderId="0" xfId="0" applyFont="1" applyFill="1" applyAlignment="1">
      <alignment horizontal="right" vertical="center"/>
    </xf>
    <xf numFmtId="4" fontId="12" fillId="0" borderId="0" xfId="458" applyNumberFormat="1" applyFont="1" applyFill="1" applyBorder="1" applyAlignment="1">
      <alignment vertical="center"/>
    </xf>
    <xf numFmtId="0" fontId="5" fillId="0" borderId="0" xfId="0" applyFont="1" applyFill="1" applyBorder="1" applyAlignment="1"/>
    <xf numFmtId="4" fontId="4" fillId="0" borderId="0" xfId="0" applyNumberFormat="1" applyFont="1" applyFill="1" applyBorder="1" applyAlignment="1">
      <alignment horizontal="left"/>
    </xf>
    <xf numFmtId="4" fontId="4" fillId="0" borderId="0" xfId="0" applyNumberFormat="1" applyFont="1" applyFill="1" applyBorder="1" applyAlignment="1"/>
    <xf numFmtId="0" fontId="4" fillId="0" borderId="0" xfId="0" applyFont="1" applyFill="1" applyBorder="1" applyAlignment="1"/>
    <xf numFmtId="0" fontId="5" fillId="0" borderId="0" xfId="0" applyFont="1" applyFill="1" applyAlignment="1">
      <alignment horizontal="left" vertical="center"/>
    </xf>
    <xf numFmtId="4" fontId="5" fillId="0" borderId="0" xfId="0" applyNumberFormat="1" applyFont="1" applyFill="1"/>
    <xf numFmtId="4" fontId="4" fillId="0" borderId="0" xfId="0" applyNumberFormat="1" applyFont="1" applyFill="1"/>
    <xf numFmtId="0" fontId="5" fillId="3" borderId="0" xfId="0" applyFont="1" applyFill="1" applyAlignment="1">
      <alignment horizontal="left" vertical="center"/>
    </xf>
    <xf numFmtId="4" fontId="5" fillId="3" borderId="0" xfId="0" applyNumberFormat="1" applyFont="1" applyFill="1"/>
    <xf numFmtId="0" fontId="8" fillId="0" borderId="0" xfId="0" applyFont="1" applyFill="1" applyAlignment="1">
      <alignment horizontal="right" vertical="center"/>
    </xf>
    <xf numFmtId="4" fontId="8" fillId="0" borderId="0" xfId="0" applyNumberFormat="1" applyFont="1" applyFill="1"/>
    <xf numFmtId="4" fontId="5" fillId="0" borderId="0" xfId="457" applyNumberFormat="1" applyFont="1"/>
    <xf numFmtId="0" fontId="4" fillId="0" borderId="0" xfId="0" applyFont="1" applyAlignment="1">
      <alignment horizontal="center" wrapText="1"/>
    </xf>
    <xf numFmtId="0" fontId="4" fillId="0" borderId="0" xfId="0" applyFont="1" applyFill="1" applyAlignment="1">
      <alignment horizontal="left" vertical="top"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4" fontId="5" fillId="0" borderId="0" xfId="0" applyNumberFormat="1" applyFont="1" applyAlignment="1">
      <alignment vertical="center" wrapText="1"/>
    </xf>
    <xf numFmtId="0" fontId="4" fillId="3" borderId="0" xfId="0" applyFont="1" applyFill="1" applyAlignment="1">
      <alignment wrapText="1"/>
    </xf>
    <xf numFmtId="0" fontId="4" fillId="0" borderId="0" xfId="0" applyFont="1" applyAlignment="1">
      <alignment wrapText="1"/>
    </xf>
    <xf numFmtId="0" fontId="5" fillId="0" borderId="0" xfId="0" applyFont="1" applyAlignment="1">
      <alignment vertical="center"/>
    </xf>
    <xf numFmtId="0" fontId="4" fillId="0" borderId="0" xfId="0" applyFont="1" applyAlignment="1">
      <alignment horizontal="left" vertical="top" wrapText="1"/>
    </xf>
    <xf numFmtId="0" fontId="5" fillId="0" borderId="0" xfId="0" applyFont="1" applyAlignment="1">
      <alignment vertical="center" wrapText="1"/>
    </xf>
    <xf numFmtId="0" fontId="8" fillId="0" borderId="0" xfId="0" applyFont="1" applyAlignment="1"/>
    <xf numFmtId="4" fontId="4" fillId="2" borderId="0" xfId="0" applyNumberFormat="1" applyFont="1" applyFill="1" applyAlignment="1">
      <alignment vertical="center" wrapText="1"/>
    </xf>
    <xf numFmtId="0" fontId="13" fillId="0" borderId="0" xfId="0" applyFont="1"/>
    <xf numFmtId="0" fontId="5" fillId="3" borderId="0" xfId="0" applyFont="1" applyFill="1" applyAlignment="1">
      <alignment vertical="center" wrapText="1"/>
    </xf>
    <xf numFmtId="4" fontId="4" fillId="3" borderId="0" xfId="0" applyNumberFormat="1" applyFont="1" applyFill="1" applyAlignment="1">
      <alignment vertical="center" wrapText="1"/>
    </xf>
    <xf numFmtId="4" fontId="5" fillId="3" borderId="0" xfId="0" applyNumberFormat="1" applyFont="1" applyFill="1" applyAlignment="1">
      <alignment vertical="top" wrapText="1"/>
    </xf>
    <xf numFmtId="0" fontId="14" fillId="0" borderId="0" xfId="0" applyFont="1"/>
    <xf numFmtId="0" fontId="10" fillId="0" borderId="0" xfId="0" applyFont="1"/>
    <xf numFmtId="0" fontId="15" fillId="0" borderId="0" xfId="0" applyFont="1"/>
    <xf numFmtId="3" fontId="16" fillId="0" borderId="0" xfId="0" applyNumberFormat="1" applyFont="1"/>
    <xf numFmtId="3" fontId="17" fillId="0" borderId="0" xfId="0" applyNumberFormat="1" applyFont="1"/>
    <xf numFmtId="0" fontId="4" fillId="0" borderId="0" xfId="0" applyFont="1" applyAlignment="1">
      <alignment wrapText="1"/>
    </xf>
    <xf numFmtId="0" fontId="4" fillId="0" borderId="0" xfId="0" applyFont="1" applyAlignment="1">
      <alignment vertical="center"/>
    </xf>
    <xf numFmtId="0" fontId="4" fillId="0" borderId="0" xfId="0" applyFont="1" applyAlignment="1">
      <alignment wrapText="1"/>
    </xf>
    <xf numFmtId="0" fontId="4" fillId="6" borderId="0" xfId="0" applyFont="1" applyFill="1" applyAlignment="1" applyProtection="1">
      <alignment vertical="top" wrapText="1"/>
      <protection locked="0"/>
    </xf>
    <xf numFmtId="0" fontId="5" fillId="0" borderId="0" xfId="0" applyFont="1" applyAlignment="1">
      <alignment vertical="center" wrapText="1"/>
    </xf>
    <xf numFmtId="0" fontId="4" fillId="3" borderId="0" xfId="0" applyFont="1" applyFill="1" applyAlignment="1">
      <alignment horizontal="left" vertical="top" wrapText="1"/>
    </xf>
    <xf numFmtId="0" fontId="10" fillId="0" borderId="0" xfId="0" applyFont="1" applyAlignment="1">
      <alignment horizontal="left" vertical="top" wrapText="1"/>
    </xf>
    <xf numFmtId="0" fontId="5" fillId="3" borderId="0" xfId="0" applyFont="1" applyFill="1" applyAlignment="1">
      <alignment horizontal="center" vertical="center" wrapText="1"/>
    </xf>
    <xf numFmtId="0" fontId="4" fillId="3" borderId="0" xfId="0" applyFont="1" applyFill="1" applyAlignment="1">
      <alignment horizontal="left" vertical="center" wrapText="1"/>
    </xf>
    <xf numFmtId="0" fontId="4" fillId="3" borderId="0" xfId="0" applyFont="1" applyFill="1" applyAlignment="1">
      <alignment horizontal="center" wrapText="1"/>
    </xf>
    <xf numFmtId="0" fontId="5" fillId="3" borderId="0" xfId="0" applyFont="1" applyFill="1" applyBorder="1" applyAlignment="1">
      <alignment horizontal="center" vertical="top" wrapText="1"/>
    </xf>
    <xf numFmtId="0" fontId="4" fillId="7" borderId="0" xfId="0" applyFont="1" applyFill="1" applyAlignment="1">
      <alignment horizontal="left" vertical="top" wrapText="1"/>
    </xf>
    <xf numFmtId="0" fontId="4" fillId="3" borderId="0" xfId="0" applyFont="1" applyFill="1" applyAlignment="1">
      <alignment vertical="top" wrapText="1"/>
    </xf>
    <xf numFmtId="0" fontId="4" fillId="7" borderId="0" xfId="0" applyFont="1" applyFill="1" applyAlignment="1">
      <alignment vertical="top" wrapText="1"/>
    </xf>
    <xf numFmtId="0" fontId="4" fillId="2" borderId="0" xfId="0" applyFont="1" applyFill="1" applyAlignment="1">
      <alignment vertical="top" wrapText="1"/>
    </xf>
    <xf numFmtId="0" fontId="4" fillId="0" borderId="0" xfId="0" applyFont="1" applyAlignment="1">
      <alignment vertical="top" wrapText="1"/>
    </xf>
    <xf numFmtId="0" fontId="4" fillId="2" borderId="0" xfId="0" applyFont="1" applyFill="1" applyAlignment="1" applyProtection="1">
      <alignment vertical="top" wrapText="1"/>
      <protection locked="0"/>
    </xf>
    <xf numFmtId="0" fontId="4" fillId="2" borderId="0" xfId="0" applyFont="1" applyFill="1" applyAlignment="1">
      <alignment horizontal="left" vertical="top" wrapText="1"/>
    </xf>
    <xf numFmtId="0" fontId="4" fillId="0" borderId="0" xfId="0" applyFont="1" applyAlignment="1">
      <alignment horizontal="left" vertical="top"/>
    </xf>
    <xf numFmtId="0" fontId="8" fillId="0" borderId="0" xfId="0" applyFont="1" applyAlignment="1">
      <alignment horizontal="center"/>
    </xf>
    <xf numFmtId="0" fontId="4" fillId="2" borderId="0" xfId="0" applyFont="1" applyFill="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5" fillId="3" borderId="0" xfId="0" applyFont="1" applyFill="1" applyAlignment="1">
      <alignment horizontal="left" vertical="top" wrapText="1"/>
    </xf>
    <xf numFmtId="0" fontId="5" fillId="0" borderId="0" xfId="0" applyFont="1" applyAlignment="1">
      <alignment vertical="center"/>
    </xf>
    <xf numFmtId="0" fontId="4" fillId="0" borderId="0" xfId="0" applyFont="1" applyAlignment="1">
      <alignment vertical="top"/>
    </xf>
    <xf numFmtId="0" fontId="4" fillId="0" borderId="0" xfId="0" applyFont="1" applyAlignment="1"/>
    <xf numFmtId="3" fontId="5" fillId="3" borderId="0" xfId="0" applyNumberFormat="1" applyFont="1" applyFill="1" applyAlignment="1">
      <alignment horizontal="center" vertical="center" wrapText="1"/>
    </xf>
    <xf numFmtId="0" fontId="4" fillId="3" borderId="0" xfId="0" applyFont="1" applyFill="1" applyAlignment="1">
      <alignment wrapText="1"/>
    </xf>
    <xf numFmtId="0" fontId="4" fillId="0" borderId="0" xfId="0" applyFont="1" applyAlignment="1">
      <alignment wrapText="1"/>
    </xf>
  </cellXfs>
  <cellStyles count="746">
    <cellStyle name="Bad" xfId="460" builtinId="27"/>
    <cellStyle name="Comma" xfId="457"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Normal" xfId="0" builtinId="0"/>
    <cellStyle name="Normal_1" xfId="459" xr:uid="{00000000-0005-0000-0000-0000E8020000}"/>
    <cellStyle name="Normal_UNOS08ust" xfId="458" xr:uid="{00000000-0005-0000-0000-0000E902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8"/>
  <sheetViews>
    <sheetView tabSelected="1" view="pageLayout" topLeftCell="A209" zoomScale="130" zoomScaleSheetLayoutView="100" zoomScalePageLayoutView="130" workbookViewId="0">
      <selection activeCell="A220" sqref="A220"/>
    </sheetView>
  </sheetViews>
  <sheetFormatPr baseColWidth="10" defaultColWidth="8.83203125" defaultRowHeight="16" x14ac:dyDescent="0.2"/>
  <cols>
    <col min="1" max="1" width="94.33203125" style="3" customWidth="1"/>
    <col min="2" max="2" width="43.1640625" style="111" customWidth="1"/>
    <col min="3" max="3" width="13.5" style="33" customWidth="1"/>
    <col min="4" max="4" width="23.33203125" style="33" customWidth="1"/>
    <col min="5" max="5" width="14.6640625" style="3" hidden="1" customWidth="1"/>
    <col min="6" max="6" width="9" style="3" hidden="1" customWidth="1"/>
    <col min="7" max="7" width="0.5" style="3" hidden="1" customWidth="1"/>
    <col min="8" max="9" width="9" style="3" hidden="1" customWidth="1"/>
    <col min="10" max="10" width="14.83203125" style="3" customWidth="1"/>
    <col min="11" max="11" width="12.6640625" style="3" bestFit="1" customWidth="1"/>
    <col min="12" max="14" width="8.83203125" style="3"/>
    <col min="15" max="15" width="9.1640625" style="3" bestFit="1" customWidth="1"/>
    <col min="16" max="16384" width="8.83203125" style="3"/>
  </cols>
  <sheetData>
    <row r="1" spans="1:4" ht="18" x14ac:dyDescent="0.2">
      <c r="A1" s="145" t="s">
        <v>287</v>
      </c>
      <c r="B1" s="145"/>
      <c r="C1" s="145"/>
    </row>
    <row r="2" spans="1:4" ht="18" x14ac:dyDescent="0.2">
      <c r="A2" s="115"/>
      <c r="B2" s="115"/>
      <c r="C2" s="115"/>
    </row>
    <row r="3" spans="1:4" ht="18" x14ac:dyDescent="0.2">
      <c r="A3" s="145" t="s">
        <v>322</v>
      </c>
      <c r="B3" s="145"/>
      <c r="C3" s="145"/>
    </row>
    <row r="4" spans="1:4" ht="18" x14ac:dyDescent="0.2">
      <c r="A4" s="115"/>
      <c r="B4" s="115"/>
      <c r="C4" s="115"/>
    </row>
    <row r="5" spans="1:4" ht="191" customHeight="1" x14ac:dyDescent="0.2">
      <c r="A5" s="148" t="s">
        <v>564</v>
      </c>
      <c r="B5" s="148"/>
      <c r="C5" s="148"/>
      <c r="D5" s="148"/>
    </row>
    <row r="6" spans="1:4" ht="15.75" customHeight="1" x14ac:dyDescent="0.2">
      <c r="A6" s="59" t="s">
        <v>452</v>
      </c>
    </row>
    <row r="7" spans="1:4" ht="88" customHeight="1" x14ac:dyDescent="0.2">
      <c r="A7" s="146" t="s">
        <v>559</v>
      </c>
      <c r="B7" s="147"/>
      <c r="C7" s="147"/>
      <c r="D7" s="147"/>
    </row>
    <row r="8" spans="1:4" x14ac:dyDescent="0.2">
      <c r="A8" s="46" t="s">
        <v>219</v>
      </c>
      <c r="C8" s="60">
        <v>165300000</v>
      </c>
    </row>
    <row r="9" spans="1:4" x14ac:dyDescent="0.2">
      <c r="A9" s="46" t="s">
        <v>307</v>
      </c>
      <c r="C9" s="15">
        <v>128200000</v>
      </c>
    </row>
    <row r="10" spans="1:4" x14ac:dyDescent="0.2">
      <c r="A10" s="46" t="s">
        <v>569</v>
      </c>
      <c r="C10" s="15">
        <v>35000000</v>
      </c>
    </row>
    <row r="11" spans="1:4" x14ac:dyDescent="0.2">
      <c r="A11" s="127" t="s">
        <v>568</v>
      </c>
      <c r="B11" s="126"/>
      <c r="C11" s="15">
        <v>35000000</v>
      </c>
    </row>
    <row r="12" spans="1:4" x14ac:dyDescent="0.2">
      <c r="A12" s="46" t="s">
        <v>220</v>
      </c>
      <c r="C12" s="15">
        <v>60000000</v>
      </c>
    </row>
    <row r="13" spans="1:4" x14ac:dyDescent="0.2">
      <c r="A13" s="46" t="s">
        <v>221</v>
      </c>
      <c r="C13" s="15">
        <v>70000000</v>
      </c>
    </row>
    <row r="14" spans="1:4" x14ac:dyDescent="0.2">
      <c r="A14" s="46" t="s">
        <v>298</v>
      </c>
      <c r="B14" s="9"/>
      <c r="C14" s="15">
        <v>61286000</v>
      </c>
    </row>
    <row r="15" spans="1:4" x14ac:dyDescent="0.2">
      <c r="A15" s="46" t="s">
        <v>299</v>
      </c>
      <c r="B15" s="9"/>
      <c r="C15" s="15">
        <v>75000000</v>
      </c>
    </row>
    <row r="16" spans="1:4" ht="17" x14ac:dyDescent="0.2">
      <c r="A16" s="5" t="s">
        <v>222</v>
      </c>
      <c r="B16" s="9"/>
      <c r="C16" s="60">
        <v>10000000</v>
      </c>
    </row>
    <row r="17" spans="1:4" ht="34" x14ac:dyDescent="0.2">
      <c r="A17" s="17" t="s">
        <v>555</v>
      </c>
      <c r="B17" s="9"/>
      <c r="C17" s="60">
        <v>3000000</v>
      </c>
    </row>
    <row r="18" spans="1:4" x14ac:dyDescent="0.2">
      <c r="A18" s="46" t="s">
        <v>223</v>
      </c>
      <c r="B18" s="9"/>
      <c r="C18" s="15">
        <v>15000000</v>
      </c>
    </row>
    <row r="19" spans="1:4" x14ac:dyDescent="0.2">
      <c r="A19" s="46" t="s">
        <v>300</v>
      </c>
      <c r="B19" s="9"/>
      <c r="C19" s="15">
        <v>16000000</v>
      </c>
    </row>
    <row r="20" spans="1:4" x14ac:dyDescent="0.2">
      <c r="A20" s="46" t="s">
        <v>301</v>
      </c>
      <c r="B20" s="9"/>
      <c r="C20" s="15">
        <v>20000000</v>
      </c>
    </row>
    <row r="21" spans="1:4" x14ac:dyDescent="0.2">
      <c r="A21" s="46" t="s">
        <v>302</v>
      </c>
      <c r="B21" s="9"/>
      <c r="C21" s="15">
        <v>15000000</v>
      </c>
    </row>
    <row r="22" spans="1:4" x14ac:dyDescent="0.2">
      <c r="A22" s="46" t="s">
        <v>558</v>
      </c>
      <c r="B22" s="9"/>
      <c r="C22" s="60">
        <v>10000000</v>
      </c>
    </row>
    <row r="23" spans="1:4" ht="35" customHeight="1" x14ac:dyDescent="0.2">
      <c r="A23" s="5" t="s">
        <v>294</v>
      </c>
      <c r="B23" s="9"/>
      <c r="C23" s="15">
        <v>16000000</v>
      </c>
    </row>
    <row r="24" spans="1:4" x14ac:dyDescent="0.2">
      <c r="A24" s="46" t="s">
        <v>224</v>
      </c>
      <c r="B24" s="9"/>
      <c r="C24" s="15">
        <v>75000000</v>
      </c>
    </row>
    <row r="25" spans="1:4" x14ac:dyDescent="0.2">
      <c r="A25" s="61" t="s">
        <v>225</v>
      </c>
      <c r="B25" s="9"/>
      <c r="C25" s="15">
        <v>100000000</v>
      </c>
    </row>
    <row r="26" spans="1:4" x14ac:dyDescent="0.2">
      <c r="A26" s="62" t="s">
        <v>296</v>
      </c>
      <c r="B26" s="9"/>
      <c r="C26" s="60">
        <v>10000000</v>
      </c>
    </row>
    <row r="27" spans="1:4" ht="51" customHeight="1" x14ac:dyDescent="0.2">
      <c r="A27" s="63" t="s">
        <v>295</v>
      </c>
      <c r="B27" s="9"/>
      <c r="C27" s="15">
        <v>12600000</v>
      </c>
    </row>
    <row r="28" spans="1:4" x14ac:dyDescent="0.2">
      <c r="A28" s="41" t="s">
        <v>0</v>
      </c>
      <c r="D28" s="7">
        <f>SUM(C8:C27)</f>
        <v>932386000</v>
      </c>
    </row>
    <row r="29" spans="1:4" x14ac:dyDescent="0.2">
      <c r="A29" s="42"/>
      <c r="B29" s="43"/>
      <c r="C29" s="44"/>
      <c r="D29" s="45"/>
    </row>
    <row r="30" spans="1:4" ht="17" x14ac:dyDescent="0.2">
      <c r="B30" s="37" t="s">
        <v>285</v>
      </c>
      <c r="C30" s="47"/>
      <c r="D30" s="39">
        <f>+D28</f>
        <v>932386000</v>
      </c>
    </row>
    <row r="31" spans="1:4" x14ac:dyDescent="0.2">
      <c r="A31" s="42"/>
      <c r="B31" s="43"/>
      <c r="C31" s="44"/>
      <c r="D31" s="45"/>
    </row>
    <row r="32" spans="1:4" ht="17" x14ac:dyDescent="0.2">
      <c r="A32" s="23" t="s">
        <v>321</v>
      </c>
      <c r="C32" s="8"/>
      <c r="D32" s="8"/>
    </row>
    <row r="33" spans="1:4" x14ac:dyDescent="0.2">
      <c r="A33" s="23"/>
      <c r="C33" s="8"/>
      <c r="D33" s="8"/>
    </row>
    <row r="34" spans="1:4" ht="17" x14ac:dyDescent="0.2">
      <c r="A34" s="114" t="s">
        <v>1</v>
      </c>
      <c r="C34" s="8"/>
      <c r="D34" s="8"/>
    </row>
    <row r="35" spans="1:4" ht="44" customHeight="1" x14ac:dyDescent="0.2">
      <c r="A35" s="142" t="s">
        <v>19</v>
      </c>
      <c r="B35" s="142"/>
      <c r="C35" s="142"/>
      <c r="D35" s="141"/>
    </row>
    <row r="36" spans="1:4" ht="17" x14ac:dyDescent="0.2">
      <c r="A36" s="5" t="s">
        <v>102</v>
      </c>
      <c r="C36" s="6">
        <v>200000</v>
      </c>
      <c r="D36" s="8"/>
    </row>
    <row r="37" spans="1:4" ht="17" x14ac:dyDescent="0.2">
      <c r="A37" s="21" t="s">
        <v>0</v>
      </c>
      <c r="C37" s="8"/>
      <c r="D37" s="7">
        <f>SUM(C36)</f>
        <v>200000</v>
      </c>
    </row>
    <row r="38" spans="1:4" x14ac:dyDescent="0.2">
      <c r="A38" s="42"/>
      <c r="B38" s="43"/>
      <c r="C38" s="116"/>
      <c r="D38" s="45"/>
    </row>
    <row r="39" spans="1:4" x14ac:dyDescent="0.2">
      <c r="A39" s="130" t="s">
        <v>560</v>
      </c>
      <c r="B39" s="130"/>
      <c r="C39" s="8"/>
      <c r="D39" s="8"/>
    </row>
    <row r="40" spans="1:4" ht="337" customHeight="1" x14ac:dyDescent="0.2">
      <c r="A40" s="140" t="s">
        <v>565</v>
      </c>
      <c r="B40" s="140"/>
      <c r="C40" s="140"/>
      <c r="D40" s="141"/>
    </row>
    <row r="41" spans="1:4" ht="17" x14ac:dyDescent="0.2">
      <c r="A41" s="17" t="s">
        <v>72</v>
      </c>
      <c r="B41" s="19"/>
      <c r="C41" s="15">
        <v>7000000</v>
      </c>
      <c r="D41" s="18"/>
    </row>
    <row r="42" spans="1:4" ht="17" x14ac:dyDescent="0.2">
      <c r="A42" s="17" t="s">
        <v>74</v>
      </c>
      <c r="B42" s="19"/>
      <c r="C42" s="15">
        <v>3000000</v>
      </c>
      <c r="D42" s="18"/>
    </row>
    <row r="43" spans="1:4" ht="17" x14ac:dyDescent="0.2">
      <c r="A43" s="17" t="s">
        <v>73</v>
      </c>
      <c r="B43" s="19"/>
      <c r="C43" s="15">
        <v>5000000</v>
      </c>
      <c r="D43" s="18"/>
    </row>
    <row r="44" spans="1:4" ht="17" x14ac:dyDescent="0.2">
      <c r="A44" s="17" t="s">
        <v>474</v>
      </c>
      <c r="B44" s="19"/>
      <c r="C44" s="15">
        <v>15000000</v>
      </c>
      <c r="D44" s="18"/>
    </row>
    <row r="45" spans="1:4" ht="17" x14ac:dyDescent="0.2">
      <c r="A45" s="17" t="s">
        <v>85</v>
      </c>
      <c r="B45" s="19"/>
      <c r="C45" s="15">
        <v>3000000</v>
      </c>
      <c r="D45" s="18"/>
    </row>
    <row r="46" spans="1:4" ht="17" x14ac:dyDescent="0.2">
      <c r="A46" s="5" t="s">
        <v>83</v>
      </c>
      <c r="B46" s="9" t="s">
        <v>90</v>
      </c>
      <c r="C46" s="15">
        <f>SUM(1000*123*5)</f>
        <v>615000</v>
      </c>
      <c r="D46" s="8">
        <f>C46/123</f>
        <v>5000</v>
      </c>
    </row>
    <row r="47" spans="1:4" ht="17" x14ac:dyDescent="0.2">
      <c r="A47" s="5" t="s">
        <v>103</v>
      </c>
      <c r="B47" s="9"/>
      <c r="C47" s="15">
        <v>500000</v>
      </c>
      <c r="D47" s="8">
        <f t="shared" ref="D47:D48" si="0">C47/123</f>
        <v>4065.040650406504</v>
      </c>
    </row>
    <row r="48" spans="1:4" ht="17" x14ac:dyDescent="0.2">
      <c r="A48" s="5" t="s">
        <v>75</v>
      </c>
      <c r="B48" s="5" t="s">
        <v>329</v>
      </c>
      <c r="C48" s="15">
        <v>221000</v>
      </c>
      <c r="D48" s="8">
        <f t="shared" si="0"/>
        <v>1796.7479674796748</v>
      </c>
    </row>
    <row r="49" spans="1:4" ht="17" x14ac:dyDescent="0.2">
      <c r="A49" s="21" t="s">
        <v>0</v>
      </c>
      <c r="C49" s="8"/>
      <c r="D49" s="7">
        <f>SUM(C41:C48)</f>
        <v>34336000</v>
      </c>
    </row>
    <row r="50" spans="1:4" x14ac:dyDescent="0.2">
      <c r="A50" s="42"/>
      <c r="B50" s="43"/>
      <c r="C50" s="116"/>
      <c r="D50" s="45"/>
    </row>
    <row r="51" spans="1:4" ht="17" x14ac:dyDescent="0.2">
      <c r="A51" s="108" t="s">
        <v>562</v>
      </c>
      <c r="B51" s="108"/>
      <c r="C51" s="30"/>
      <c r="D51" s="35"/>
    </row>
    <row r="52" spans="1:4" ht="105" customHeight="1" x14ac:dyDescent="0.2">
      <c r="A52" s="143" t="s">
        <v>563</v>
      </c>
      <c r="B52" s="143"/>
      <c r="C52" s="143"/>
      <c r="D52" s="144"/>
    </row>
    <row r="53" spans="1:4" ht="17" x14ac:dyDescent="0.2">
      <c r="A53" s="34" t="s">
        <v>397</v>
      </c>
      <c r="B53" s="16"/>
      <c r="C53" s="30">
        <v>6000000</v>
      </c>
      <c r="D53" s="35"/>
    </row>
    <row r="54" spans="1:4" ht="17" x14ac:dyDescent="0.2">
      <c r="A54" s="21" t="s">
        <v>0</v>
      </c>
      <c r="C54" s="8"/>
      <c r="D54" s="7">
        <f>SUM(C53:C53)</f>
        <v>6000000</v>
      </c>
    </row>
    <row r="55" spans="1:4" x14ac:dyDescent="0.2">
      <c r="A55" s="42"/>
      <c r="B55" s="43"/>
      <c r="C55" s="116"/>
      <c r="D55" s="45"/>
    </row>
    <row r="56" spans="1:4" ht="17" x14ac:dyDescent="0.2">
      <c r="A56" s="114" t="s">
        <v>133</v>
      </c>
      <c r="C56" s="8"/>
      <c r="D56" s="8"/>
    </row>
    <row r="57" spans="1:4" ht="30" customHeight="1" x14ac:dyDescent="0.2">
      <c r="A57" s="140" t="s">
        <v>324</v>
      </c>
      <c r="B57" s="140"/>
      <c r="C57" s="140"/>
      <c r="D57" s="141"/>
    </row>
    <row r="58" spans="1:4" x14ac:dyDescent="0.2">
      <c r="A58" s="130" t="s">
        <v>333</v>
      </c>
      <c r="B58" s="130"/>
      <c r="C58" s="18"/>
      <c r="D58" s="8"/>
    </row>
    <row r="59" spans="1:4" ht="17" x14ac:dyDescent="0.2">
      <c r="A59" s="5" t="s">
        <v>2</v>
      </c>
      <c r="B59" s="5" t="s">
        <v>325</v>
      </c>
      <c r="C59" s="15">
        <f>37500*2</f>
        <v>75000</v>
      </c>
      <c r="D59" s="8"/>
    </row>
    <row r="60" spans="1:4" x14ac:dyDescent="0.2">
      <c r="A60" s="130" t="s">
        <v>334</v>
      </c>
      <c r="B60" s="130"/>
      <c r="C60" s="18"/>
      <c r="D60" s="8"/>
    </row>
    <row r="61" spans="1:4" ht="17" x14ac:dyDescent="0.2">
      <c r="A61" s="5" t="s">
        <v>2</v>
      </c>
      <c r="B61" s="5" t="s">
        <v>20</v>
      </c>
      <c r="C61" s="15">
        <f>35000*2</f>
        <v>70000</v>
      </c>
      <c r="D61" s="8"/>
    </row>
    <row r="62" spans="1:4" x14ac:dyDescent="0.2">
      <c r="A62" s="130" t="s">
        <v>335</v>
      </c>
      <c r="B62" s="130"/>
      <c r="C62" s="18"/>
      <c r="D62" s="8"/>
    </row>
    <row r="63" spans="1:4" ht="17" x14ac:dyDescent="0.2">
      <c r="A63" s="5" t="s">
        <v>2</v>
      </c>
      <c r="B63" s="5" t="s">
        <v>330</v>
      </c>
      <c r="C63" s="18">
        <v>92000</v>
      </c>
      <c r="D63" s="8"/>
    </row>
    <row r="64" spans="1:4" ht="17" x14ac:dyDescent="0.2">
      <c r="A64" s="5" t="s">
        <v>356</v>
      </c>
      <c r="B64" s="5" t="s">
        <v>357</v>
      </c>
      <c r="C64" s="18">
        <v>39000</v>
      </c>
      <c r="D64" s="8"/>
    </row>
    <row r="65" spans="1:4" ht="17" x14ac:dyDescent="0.2">
      <c r="A65" s="5" t="s">
        <v>358</v>
      </c>
      <c r="B65" s="5" t="s">
        <v>359</v>
      </c>
      <c r="C65" s="15">
        <v>37000</v>
      </c>
      <c r="D65" s="8"/>
    </row>
    <row r="66" spans="1:4" ht="17" x14ac:dyDescent="0.2">
      <c r="A66" s="114" t="s">
        <v>134</v>
      </c>
      <c r="B66" s="114"/>
      <c r="C66" s="18"/>
      <c r="D66" s="8"/>
    </row>
    <row r="67" spans="1:4" ht="17" x14ac:dyDescent="0.2">
      <c r="A67" s="5" t="s">
        <v>326</v>
      </c>
      <c r="B67" s="5" t="s">
        <v>327</v>
      </c>
      <c r="C67" s="18">
        <v>40000</v>
      </c>
      <c r="D67" s="8"/>
    </row>
    <row r="68" spans="1:4" ht="17" x14ac:dyDescent="0.2">
      <c r="A68" s="5" t="s">
        <v>75</v>
      </c>
      <c r="B68" s="5" t="s">
        <v>328</v>
      </c>
      <c r="C68" s="18">
        <v>18000</v>
      </c>
      <c r="D68" s="8"/>
    </row>
    <row r="69" spans="1:4" ht="17" x14ac:dyDescent="0.2">
      <c r="A69" s="17" t="s">
        <v>135</v>
      </c>
      <c r="B69" s="16" t="s">
        <v>36</v>
      </c>
      <c r="C69" s="15">
        <f>3000*123</f>
        <v>369000</v>
      </c>
      <c r="D69" s="8"/>
    </row>
    <row r="70" spans="1:4" ht="17" x14ac:dyDescent="0.2">
      <c r="A70" s="108" t="s">
        <v>556</v>
      </c>
      <c r="B70" s="16"/>
      <c r="C70" s="15"/>
      <c r="D70" s="8"/>
    </row>
    <row r="71" spans="1:4" ht="17" x14ac:dyDescent="0.2">
      <c r="A71" s="17" t="s">
        <v>72</v>
      </c>
      <c r="B71" s="16"/>
      <c r="C71" s="15">
        <v>369000</v>
      </c>
      <c r="D71" s="8"/>
    </row>
    <row r="72" spans="1:4" ht="17" x14ac:dyDescent="0.2">
      <c r="A72" s="21" t="s">
        <v>0</v>
      </c>
      <c r="C72" s="8"/>
      <c r="D72" s="7">
        <f>SUM(C59:C71)</f>
        <v>1109000</v>
      </c>
    </row>
    <row r="73" spans="1:4" x14ac:dyDescent="0.2">
      <c r="A73" s="42"/>
      <c r="B73" s="43"/>
      <c r="C73" s="116"/>
      <c r="D73" s="45"/>
    </row>
    <row r="74" spans="1:4" ht="17" x14ac:dyDescent="0.2">
      <c r="A74" s="114" t="s">
        <v>138</v>
      </c>
      <c r="C74" s="8"/>
      <c r="D74" s="8"/>
    </row>
    <row r="75" spans="1:4" ht="56" customHeight="1" x14ac:dyDescent="0.2">
      <c r="A75" s="140" t="s">
        <v>336</v>
      </c>
      <c r="B75" s="140"/>
      <c r="C75" s="140"/>
      <c r="D75" s="141"/>
    </row>
    <row r="76" spans="1:4" ht="17" x14ac:dyDescent="0.2">
      <c r="A76" s="5" t="s">
        <v>77</v>
      </c>
      <c r="B76" s="5" t="s">
        <v>323</v>
      </c>
      <c r="C76" s="15">
        <f>16000*123</f>
        <v>1968000</v>
      </c>
      <c r="D76" s="8"/>
    </row>
    <row r="77" spans="1:4" ht="17" x14ac:dyDescent="0.2">
      <c r="A77" s="5" t="s">
        <v>5</v>
      </c>
      <c r="B77" s="5" t="s">
        <v>36</v>
      </c>
      <c r="C77" s="15">
        <f>3000*123</f>
        <v>369000</v>
      </c>
      <c r="D77" s="8"/>
    </row>
    <row r="78" spans="1:4" ht="17" x14ac:dyDescent="0.2">
      <c r="A78" s="5" t="s">
        <v>6</v>
      </c>
      <c r="B78" s="5" t="s">
        <v>332</v>
      </c>
      <c r="C78" s="15">
        <v>18000</v>
      </c>
      <c r="D78" s="8"/>
    </row>
    <row r="79" spans="1:4" ht="17" x14ac:dyDescent="0.2">
      <c r="A79" s="111" t="s">
        <v>106</v>
      </c>
      <c r="B79" s="24">
        <v>150000</v>
      </c>
      <c r="C79" s="18">
        <v>150000</v>
      </c>
      <c r="D79" s="8"/>
    </row>
    <row r="80" spans="1:4" ht="17" x14ac:dyDescent="0.2">
      <c r="A80" s="5" t="s">
        <v>22</v>
      </c>
      <c r="B80" s="25">
        <v>280000</v>
      </c>
      <c r="C80" s="15">
        <v>280000</v>
      </c>
      <c r="D80" s="8"/>
    </row>
    <row r="81" spans="1:9" ht="17" x14ac:dyDescent="0.2">
      <c r="A81" s="5" t="s">
        <v>7</v>
      </c>
      <c r="B81" s="5" t="s">
        <v>23</v>
      </c>
      <c r="C81" s="15">
        <v>150000</v>
      </c>
      <c r="D81" s="8"/>
    </row>
    <row r="82" spans="1:9" ht="17" x14ac:dyDescent="0.2">
      <c r="A82" s="5" t="s">
        <v>24</v>
      </c>
      <c r="B82" s="5" t="s">
        <v>25</v>
      </c>
      <c r="C82" s="15">
        <v>30000</v>
      </c>
      <c r="D82" s="8"/>
    </row>
    <row r="83" spans="1:9" ht="17" x14ac:dyDescent="0.2">
      <c r="A83" s="5" t="s">
        <v>8</v>
      </c>
      <c r="B83" s="5" t="s">
        <v>330</v>
      </c>
      <c r="C83" s="15">
        <v>92000</v>
      </c>
      <c r="D83" s="8"/>
    </row>
    <row r="84" spans="1:9" ht="17" x14ac:dyDescent="0.2">
      <c r="A84" s="5" t="s">
        <v>9</v>
      </c>
      <c r="B84" s="5" t="s">
        <v>26</v>
      </c>
      <c r="C84" s="15">
        <v>922000</v>
      </c>
      <c r="D84" s="8"/>
    </row>
    <row r="85" spans="1:9" ht="17" x14ac:dyDescent="0.2">
      <c r="A85" s="5" t="s">
        <v>331</v>
      </c>
      <c r="B85" s="5" t="s">
        <v>27</v>
      </c>
      <c r="C85" s="15">
        <v>200000</v>
      </c>
      <c r="D85" s="8"/>
    </row>
    <row r="86" spans="1:9" ht="17" x14ac:dyDescent="0.2">
      <c r="A86" s="5" t="s">
        <v>10</v>
      </c>
      <c r="B86" s="5" t="s">
        <v>344</v>
      </c>
      <c r="C86" s="15">
        <v>5000</v>
      </c>
      <c r="D86" s="8"/>
    </row>
    <row r="87" spans="1:9" ht="17" x14ac:dyDescent="0.2">
      <c r="A87" s="5" t="s">
        <v>105</v>
      </c>
      <c r="B87" s="5" t="s">
        <v>54</v>
      </c>
      <c r="C87" s="15">
        <f>1000*123</f>
        <v>123000</v>
      </c>
      <c r="D87" s="11"/>
      <c r="E87" s="59"/>
      <c r="F87" s="59"/>
      <c r="G87" s="59"/>
      <c r="H87" s="59"/>
      <c r="I87" s="59"/>
    </row>
    <row r="88" spans="1:9" ht="17" x14ac:dyDescent="0.2">
      <c r="A88" s="5" t="s">
        <v>28</v>
      </c>
      <c r="B88" s="5" t="s">
        <v>36</v>
      </c>
      <c r="C88" s="15">
        <f>3000*123</f>
        <v>369000</v>
      </c>
      <c r="D88" s="11"/>
    </row>
    <row r="89" spans="1:9" ht="17" x14ac:dyDescent="0.2">
      <c r="A89" s="5" t="s">
        <v>11</v>
      </c>
      <c r="B89" s="5" t="s">
        <v>25</v>
      </c>
      <c r="C89" s="15">
        <v>30000</v>
      </c>
      <c r="D89" s="11"/>
    </row>
    <row r="90" spans="1:9" ht="17" x14ac:dyDescent="0.2">
      <c r="A90" s="5" t="s">
        <v>30</v>
      </c>
      <c r="B90" s="5" t="s">
        <v>31</v>
      </c>
      <c r="C90" s="15">
        <v>20000</v>
      </c>
      <c r="D90" s="11"/>
    </row>
    <row r="91" spans="1:9" ht="17" x14ac:dyDescent="0.2">
      <c r="A91" s="5" t="s">
        <v>76</v>
      </c>
      <c r="B91" s="5" t="s">
        <v>32</v>
      </c>
      <c r="C91" s="15">
        <v>120000</v>
      </c>
      <c r="D91" s="11"/>
    </row>
    <row r="92" spans="1:9" ht="17" x14ac:dyDescent="0.2">
      <c r="A92" s="5" t="s">
        <v>101</v>
      </c>
      <c r="B92" s="5" t="s">
        <v>81</v>
      </c>
      <c r="C92" s="15">
        <v>24500</v>
      </c>
      <c r="D92" s="11"/>
    </row>
    <row r="93" spans="1:9" ht="17" x14ac:dyDescent="0.2">
      <c r="A93" s="5" t="s">
        <v>80</v>
      </c>
      <c r="B93" s="5" t="s">
        <v>332</v>
      </c>
      <c r="C93" s="15">
        <v>18500</v>
      </c>
      <c r="D93" s="11"/>
    </row>
    <row r="94" spans="1:9" ht="17" x14ac:dyDescent="0.2">
      <c r="A94" s="21" t="s">
        <v>0</v>
      </c>
      <c r="C94" s="8"/>
      <c r="D94" s="7">
        <f>SUM(C76:C93)</f>
        <v>4889000</v>
      </c>
    </row>
    <row r="95" spans="1:9" x14ac:dyDescent="0.2">
      <c r="A95" s="42"/>
      <c r="B95" s="43"/>
      <c r="C95" s="116"/>
      <c r="D95" s="45"/>
    </row>
    <row r="96" spans="1:9" ht="17" x14ac:dyDescent="0.2">
      <c r="A96" s="107" t="s">
        <v>551</v>
      </c>
      <c r="B96" s="108"/>
      <c r="C96" s="30"/>
      <c r="D96" s="35"/>
    </row>
    <row r="97" spans="1:4" ht="47" customHeight="1" x14ac:dyDescent="0.2">
      <c r="A97" s="150" t="s">
        <v>552</v>
      </c>
      <c r="B97" s="150"/>
      <c r="C97" s="150"/>
      <c r="D97" s="150"/>
    </row>
    <row r="98" spans="1:4" ht="17" x14ac:dyDescent="0.2">
      <c r="A98" s="34" t="s">
        <v>553</v>
      </c>
      <c r="B98" s="17" t="s">
        <v>554</v>
      </c>
      <c r="C98" s="30"/>
      <c r="D98" s="35"/>
    </row>
    <row r="99" spans="1:4" x14ac:dyDescent="0.2">
      <c r="B99" s="108"/>
      <c r="C99" s="30">
        <f>37000*123</f>
        <v>4551000</v>
      </c>
      <c r="D99" s="35"/>
    </row>
    <row r="100" spans="1:4" ht="17" x14ac:dyDescent="0.2">
      <c r="A100" s="22" t="s">
        <v>55</v>
      </c>
      <c r="B100" s="108"/>
      <c r="C100" s="30"/>
      <c r="D100" s="35">
        <v>4551000</v>
      </c>
    </row>
    <row r="101" spans="1:4" x14ac:dyDescent="0.2">
      <c r="A101" s="42"/>
      <c r="B101" s="43"/>
      <c r="C101" s="116"/>
      <c r="D101" s="45"/>
    </row>
    <row r="102" spans="1:4" ht="17" x14ac:dyDescent="0.2">
      <c r="A102" s="114" t="s">
        <v>139</v>
      </c>
      <c r="C102" s="8"/>
      <c r="D102" s="8"/>
    </row>
    <row r="103" spans="1:4" ht="58" customHeight="1" x14ac:dyDescent="0.2">
      <c r="A103" s="143" t="s">
        <v>337</v>
      </c>
      <c r="B103" s="143"/>
      <c r="C103" s="143"/>
      <c r="D103" s="143"/>
    </row>
    <row r="104" spans="1:4" ht="17" x14ac:dyDescent="0.2">
      <c r="A104" s="114" t="s">
        <v>338</v>
      </c>
      <c r="B104" s="14">
        <f>SUM(C105:C111)</f>
        <v>1075000</v>
      </c>
      <c r="C104" s="26"/>
      <c r="D104" s="8"/>
    </row>
    <row r="105" spans="1:4" ht="17" x14ac:dyDescent="0.2">
      <c r="A105" s="111" t="s">
        <v>106</v>
      </c>
      <c r="B105" s="24">
        <v>81500</v>
      </c>
      <c r="C105" s="18">
        <v>81500</v>
      </c>
      <c r="D105" s="8"/>
    </row>
    <row r="106" spans="1:4" ht="17" x14ac:dyDescent="0.2">
      <c r="A106" s="5" t="s">
        <v>33</v>
      </c>
      <c r="B106" s="25">
        <v>102500</v>
      </c>
      <c r="C106" s="15">
        <v>102500</v>
      </c>
      <c r="D106" s="8"/>
    </row>
    <row r="107" spans="1:4" ht="17" x14ac:dyDescent="0.2">
      <c r="A107" s="5" t="s">
        <v>341</v>
      </c>
      <c r="B107" s="5" t="s">
        <v>34</v>
      </c>
      <c r="C107" s="15">
        <v>75000</v>
      </c>
      <c r="D107" s="8"/>
    </row>
    <row r="108" spans="1:4" ht="17" x14ac:dyDescent="0.2">
      <c r="A108" s="5" t="s">
        <v>342</v>
      </c>
      <c r="B108" s="5" t="s">
        <v>36</v>
      </c>
      <c r="C108" s="15">
        <f>SUM(3000*123)</f>
        <v>369000</v>
      </c>
      <c r="D108" s="8"/>
    </row>
    <row r="109" spans="1:4" ht="17" x14ac:dyDescent="0.2">
      <c r="A109" s="5" t="s">
        <v>10</v>
      </c>
      <c r="B109" s="5" t="s">
        <v>343</v>
      </c>
      <c r="C109" s="15">
        <v>4000</v>
      </c>
      <c r="D109" s="8"/>
    </row>
    <row r="110" spans="1:4" ht="17" x14ac:dyDescent="0.2">
      <c r="A110" s="5" t="s">
        <v>12</v>
      </c>
      <c r="B110" s="5" t="s">
        <v>104</v>
      </c>
      <c r="C110" s="15">
        <v>74000</v>
      </c>
      <c r="D110" s="8"/>
    </row>
    <row r="111" spans="1:4" ht="17" x14ac:dyDescent="0.2">
      <c r="A111" s="5" t="s">
        <v>38</v>
      </c>
      <c r="B111" s="5" t="s">
        <v>36</v>
      </c>
      <c r="C111" s="15">
        <f>3000*123</f>
        <v>369000</v>
      </c>
      <c r="D111" s="8"/>
    </row>
    <row r="112" spans="1:4" ht="17" x14ac:dyDescent="0.2">
      <c r="A112" s="114" t="s">
        <v>339</v>
      </c>
      <c r="B112" s="14">
        <f>SUM(C113:C122)</f>
        <v>3812000</v>
      </c>
      <c r="C112" s="18"/>
      <c r="D112" s="8"/>
    </row>
    <row r="113" spans="1:4" ht="17" x14ac:dyDescent="0.2">
      <c r="A113" s="5" t="s">
        <v>13</v>
      </c>
      <c r="B113" s="5" t="s">
        <v>340</v>
      </c>
      <c r="C113" s="15">
        <f>5500*123</f>
        <v>676500</v>
      </c>
      <c r="D113" s="8"/>
    </row>
    <row r="114" spans="1:4" ht="17" x14ac:dyDescent="0.2">
      <c r="A114" s="5" t="s">
        <v>92</v>
      </c>
      <c r="B114" s="5" t="s">
        <v>29</v>
      </c>
      <c r="C114" s="15">
        <f>4000*123</f>
        <v>492000</v>
      </c>
      <c r="D114" s="8"/>
    </row>
    <row r="115" spans="1:4" ht="17" x14ac:dyDescent="0.2">
      <c r="A115" s="5" t="s">
        <v>39</v>
      </c>
      <c r="B115" s="25">
        <v>160000</v>
      </c>
      <c r="C115" s="15">
        <v>160000</v>
      </c>
      <c r="D115" s="8"/>
    </row>
    <row r="116" spans="1:4" ht="17" x14ac:dyDescent="0.2">
      <c r="A116" s="5" t="s">
        <v>37</v>
      </c>
      <c r="B116" s="5" t="s">
        <v>21</v>
      </c>
      <c r="C116" s="15">
        <f>15000*123</f>
        <v>1845000</v>
      </c>
      <c r="D116" s="8"/>
    </row>
    <row r="117" spans="1:4" ht="17" x14ac:dyDescent="0.2">
      <c r="A117" s="5" t="s">
        <v>105</v>
      </c>
      <c r="B117" s="5" t="s">
        <v>54</v>
      </c>
      <c r="C117" s="15">
        <f>1000*123</f>
        <v>123000</v>
      </c>
      <c r="D117" s="8"/>
    </row>
    <row r="118" spans="1:4" ht="17" x14ac:dyDescent="0.2">
      <c r="A118" s="5" t="s">
        <v>35</v>
      </c>
      <c r="B118" s="5" t="s">
        <v>91</v>
      </c>
      <c r="C118" s="15">
        <v>22000</v>
      </c>
      <c r="D118" s="8"/>
    </row>
    <row r="119" spans="1:4" ht="17" x14ac:dyDescent="0.2">
      <c r="A119" s="5" t="s">
        <v>3</v>
      </c>
      <c r="B119" s="5" t="s">
        <v>82</v>
      </c>
      <c r="C119" s="15">
        <f>3500*123</f>
        <v>430500</v>
      </c>
      <c r="D119" s="8"/>
    </row>
    <row r="120" spans="1:4" ht="17" x14ac:dyDescent="0.2">
      <c r="A120" s="5" t="s">
        <v>14</v>
      </c>
      <c r="B120" s="5" t="s">
        <v>40</v>
      </c>
      <c r="C120" s="15">
        <v>12500</v>
      </c>
      <c r="D120" s="8"/>
    </row>
    <row r="121" spans="1:4" ht="17" x14ac:dyDescent="0.2">
      <c r="A121" s="5" t="s">
        <v>15</v>
      </c>
      <c r="B121" s="5" t="s">
        <v>41</v>
      </c>
      <c r="C121" s="15">
        <v>29500</v>
      </c>
      <c r="D121" s="8"/>
    </row>
    <row r="122" spans="1:4" ht="17" x14ac:dyDescent="0.2">
      <c r="A122" s="5" t="s">
        <v>16</v>
      </c>
      <c r="B122" s="5" t="s">
        <v>42</v>
      </c>
      <c r="C122" s="15">
        <v>21000</v>
      </c>
      <c r="D122" s="8"/>
    </row>
    <row r="123" spans="1:4" ht="17" x14ac:dyDescent="0.2">
      <c r="A123" s="21" t="s">
        <v>0</v>
      </c>
      <c r="B123" s="9"/>
      <c r="C123" s="8"/>
      <c r="D123" s="7">
        <f>SUM(B104+B112)</f>
        <v>4887000</v>
      </c>
    </row>
    <row r="124" spans="1:4" x14ac:dyDescent="0.2">
      <c r="A124" s="42"/>
      <c r="B124" s="43"/>
      <c r="C124" s="116"/>
      <c r="D124" s="45"/>
    </row>
    <row r="125" spans="1:4" x14ac:dyDescent="0.2">
      <c r="A125" s="130" t="s">
        <v>141</v>
      </c>
      <c r="B125" s="130"/>
      <c r="C125" s="8"/>
      <c r="D125" s="8"/>
    </row>
    <row r="126" spans="1:4" ht="76" customHeight="1" x14ac:dyDescent="0.2">
      <c r="A126" s="140" t="s">
        <v>48</v>
      </c>
      <c r="B126" s="140"/>
      <c r="C126" s="140"/>
      <c r="D126" s="141"/>
    </row>
    <row r="127" spans="1:4" ht="17" x14ac:dyDescent="0.2">
      <c r="A127" s="5" t="s">
        <v>345</v>
      </c>
      <c r="B127" s="5" t="s">
        <v>347</v>
      </c>
      <c r="C127" s="6">
        <f>50*30000</f>
        <v>1500000</v>
      </c>
      <c r="D127" s="13"/>
    </row>
    <row r="128" spans="1:4" ht="17" x14ac:dyDescent="0.2">
      <c r="A128" s="5" t="s">
        <v>346</v>
      </c>
      <c r="B128" s="5" t="s">
        <v>348</v>
      </c>
      <c r="C128" s="6">
        <f>50*3*80*123</f>
        <v>1476000</v>
      </c>
      <c r="D128" s="13"/>
    </row>
    <row r="129" spans="1:4" ht="17" x14ac:dyDescent="0.2">
      <c r="A129" s="5" t="s">
        <v>4</v>
      </c>
      <c r="B129" s="5" t="s">
        <v>107</v>
      </c>
      <c r="C129" s="15">
        <f>60*3000*5</f>
        <v>900000</v>
      </c>
      <c r="D129" s="13"/>
    </row>
    <row r="130" spans="1:4" ht="17" x14ac:dyDescent="0.2">
      <c r="A130" s="5" t="s">
        <v>49</v>
      </c>
      <c r="B130" s="5"/>
      <c r="C130" s="15">
        <v>150000</v>
      </c>
      <c r="D130" s="13"/>
    </row>
    <row r="131" spans="1:4" ht="17" x14ac:dyDescent="0.2">
      <c r="A131" s="5" t="s">
        <v>50</v>
      </c>
      <c r="B131" s="5"/>
      <c r="C131" s="15">
        <v>20000</v>
      </c>
      <c r="D131" s="13"/>
    </row>
    <row r="132" spans="1:4" ht="17" x14ac:dyDescent="0.2">
      <c r="A132" s="5" t="s">
        <v>51</v>
      </c>
      <c r="B132" s="5"/>
      <c r="C132" s="15">
        <v>120000</v>
      </c>
      <c r="D132" s="13"/>
    </row>
    <row r="133" spans="1:4" ht="17" x14ac:dyDescent="0.2">
      <c r="A133" s="5" t="s">
        <v>52</v>
      </c>
      <c r="B133" s="5"/>
      <c r="C133" s="15">
        <v>125000</v>
      </c>
      <c r="D133" s="13"/>
    </row>
    <row r="134" spans="1:4" ht="17" x14ac:dyDescent="0.2">
      <c r="A134" s="5" t="s">
        <v>53</v>
      </c>
      <c r="B134" s="5"/>
      <c r="C134" s="15">
        <v>140000</v>
      </c>
      <c r="D134" s="13"/>
    </row>
    <row r="135" spans="1:4" ht="17" x14ac:dyDescent="0.2">
      <c r="A135" s="5" t="s">
        <v>355</v>
      </c>
      <c r="B135" s="5"/>
      <c r="C135" s="15">
        <v>200000</v>
      </c>
      <c r="D135" s="13"/>
    </row>
    <row r="136" spans="1:4" ht="17" x14ac:dyDescent="0.2">
      <c r="A136" s="5" t="s">
        <v>354</v>
      </c>
      <c r="B136" s="10"/>
      <c r="C136" s="15">
        <v>140000</v>
      </c>
      <c r="D136" s="13"/>
    </row>
    <row r="137" spans="1:4" ht="17" x14ac:dyDescent="0.2">
      <c r="A137" s="5" t="s">
        <v>86</v>
      </c>
      <c r="B137" s="10" t="s">
        <v>111</v>
      </c>
      <c r="C137" s="15">
        <f>4000*2*123</f>
        <v>984000</v>
      </c>
      <c r="D137" s="13"/>
    </row>
    <row r="138" spans="1:4" ht="17" x14ac:dyDescent="0.2">
      <c r="A138" s="5" t="s">
        <v>70</v>
      </c>
      <c r="B138" s="5"/>
      <c r="C138" s="15">
        <v>600000</v>
      </c>
      <c r="D138" s="13"/>
    </row>
    <row r="139" spans="1:4" ht="17" x14ac:dyDescent="0.2">
      <c r="A139" s="5" t="s">
        <v>110</v>
      </c>
      <c r="B139" s="5" t="s">
        <v>109</v>
      </c>
      <c r="C139" s="15">
        <v>16500</v>
      </c>
      <c r="D139" s="13"/>
    </row>
    <row r="140" spans="1:4" ht="17" x14ac:dyDescent="0.2">
      <c r="A140" s="111" t="s">
        <v>108</v>
      </c>
      <c r="B140" s="111" t="s">
        <v>349</v>
      </c>
      <c r="C140" s="18">
        <v>110500</v>
      </c>
      <c r="D140" s="13"/>
    </row>
    <row r="141" spans="1:4" ht="17" x14ac:dyDescent="0.2">
      <c r="A141" s="14" t="s">
        <v>0</v>
      </c>
      <c r="B141" s="14"/>
      <c r="C141" s="6"/>
      <c r="D141" s="7">
        <f>SUM(C127:C140)</f>
        <v>6482000</v>
      </c>
    </row>
    <row r="142" spans="1:4" x14ac:dyDescent="0.2">
      <c r="A142" s="42"/>
      <c r="B142" s="43"/>
      <c r="C142" s="116"/>
      <c r="D142" s="45"/>
    </row>
    <row r="143" spans="1:4" x14ac:dyDescent="0.2">
      <c r="A143" s="130" t="s">
        <v>140</v>
      </c>
      <c r="B143" s="130"/>
      <c r="C143" s="8"/>
      <c r="D143" s="8"/>
    </row>
    <row r="144" spans="1:4" ht="55" customHeight="1" x14ac:dyDescent="0.2">
      <c r="A144" s="143" t="s">
        <v>313</v>
      </c>
      <c r="B144" s="143"/>
      <c r="C144" s="143"/>
      <c r="D144" s="143"/>
    </row>
    <row r="145" spans="1:4" ht="17" x14ac:dyDescent="0.2">
      <c r="A145" s="5" t="s">
        <v>43</v>
      </c>
      <c r="B145" s="5" t="s">
        <v>44</v>
      </c>
      <c r="C145" s="15">
        <f>20000*2</f>
        <v>40000</v>
      </c>
      <c r="D145" s="8"/>
    </row>
    <row r="146" spans="1:4" ht="17" x14ac:dyDescent="0.2">
      <c r="A146" s="5" t="s">
        <v>12</v>
      </c>
      <c r="B146" s="5" t="s">
        <v>78</v>
      </c>
      <c r="C146" s="15">
        <v>11000</v>
      </c>
      <c r="D146" s="8"/>
    </row>
    <row r="147" spans="1:4" ht="17" x14ac:dyDescent="0.2">
      <c r="A147" s="5" t="s">
        <v>265</v>
      </c>
      <c r="B147" s="5" t="s">
        <v>190</v>
      </c>
      <c r="C147" s="15">
        <v>61000</v>
      </c>
      <c r="D147" s="8"/>
    </row>
    <row r="148" spans="1:4" ht="17" x14ac:dyDescent="0.2">
      <c r="A148" s="5" t="s">
        <v>45</v>
      </c>
      <c r="B148" s="5" t="s">
        <v>46</v>
      </c>
      <c r="C148" s="15">
        <v>49000</v>
      </c>
      <c r="D148" s="8"/>
    </row>
    <row r="149" spans="1:4" ht="17" x14ac:dyDescent="0.2">
      <c r="A149" s="17" t="s">
        <v>312</v>
      </c>
      <c r="B149" s="16" t="s">
        <v>64</v>
      </c>
      <c r="C149" s="15">
        <f>10000*123</f>
        <v>1230000</v>
      </c>
      <c r="D149" s="18"/>
    </row>
    <row r="150" spans="1:4" ht="17" x14ac:dyDescent="0.2">
      <c r="A150" s="17" t="s">
        <v>79</v>
      </c>
      <c r="B150" s="17" t="s">
        <v>36</v>
      </c>
      <c r="C150" s="15">
        <f>3000*123</f>
        <v>369000</v>
      </c>
      <c r="D150" s="18"/>
    </row>
    <row r="151" spans="1:4" ht="17" x14ac:dyDescent="0.2">
      <c r="A151" s="21" t="s">
        <v>0</v>
      </c>
      <c r="C151" s="8"/>
      <c r="D151" s="7">
        <f>SUM(C145:C150)</f>
        <v>1760000</v>
      </c>
    </row>
    <row r="152" spans="1:4" x14ac:dyDescent="0.2">
      <c r="A152" s="42"/>
      <c r="B152" s="43"/>
      <c r="C152" s="116"/>
      <c r="D152" s="45"/>
    </row>
    <row r="153" spans="1:4" x14ac:dyDescent="0.2">
      <c r="A153" s="130" t="s">
        <v>433</v>
      </c>
      <c r="B153" s="130"/>
      <c r="C153" s="8"/>
      <c r="D153" s="8"/>
    </row>
    <row r="154" spans="1:4" ht="69" customHeight="1" x14ac:dyDescent="0.2">
      <c r="A154" s="143" t="s">
        <v>434</v>
      </c>
      <c r="B154" s="143"/>
      <c r="C154" s="143"/>
      <c r="D154" s="143"/>
    </row>
    <row r="155" spans="1:4" ht="34" x14ac:dyDescent="0.2">
      <c r="A155" s="5" t="s">
        <v>435</v>
      </c>
      <c r="B155" s="5" t="s">
        <v>436</v>
      </c>
      <c r="C155" s="15">
        <f>25000*4</f>
        <v>100000</v>
      </c>
      <c r="D155" s="8"/>
    </row>
    <row r="156" spans="1:4" ht="17" x14ac:dyDescent="0.2">
      <c r="A156" s="5" t="s">
        <v>437</v>
      </c>
      <c r="B156" s="5" t="s">
        <v>438</v>
      </c>
      <c r="C156" s="15">
        <v>18000</v>
      </c>
      <c r="D156" s="8"/>
    </row>
    <row r="157" spans="1:4" ht="17" x14ac:dyDescent="0.2">
      <c r="A157" s="17" t="s">
        <v>439</v>
      </c>
      <c r="B157" s="17" t="s">
        <v>54</v>
      </c>
      <c r="C157" s="15">
        <f>1000*123</f>
        <v>123000</v>
      </c>
      <c r="D157" s="18"/>
    </row>
    <row r="158" spans="1:4" ht="17" x14ac:dyDescent="0.2">
      <c r="A158" s="21" t="s">
        <v>0</v>
      </c>
      <c r="C158" s="8"/>
      <c r="D158" s="7">
        <f>SUM(C155:C157)</f>
        <v>241000</v>
      </c>
    </row>
    <row r="159" spans="1:4" x14ac:dyDescent="0.2">
      <c r="A159" s="42"/>
      <c r="B159" s="43"/>
      <c r="C159" s="116"/>
      <c r="D159" s="45"/>
    </row>
    <row r="160" spans="1:4" ht="17" x14ac:dyDescent="0.2">
      <c r="A160" s="108" t="s">
        <v>368</v>
      </c>
      <c r="C160" s="8"/>
      <c r="D160" s="8"/>
    </row>
    <row r="161" spans="1:18" ht="71" customHeight="1" x14ac:dyDescent="0.2">
      <c r="A161" s="131" t="s">
        <v>385</v>
      </c>
      <c r="B161" s="132"/>
      <c r="C161" s="132"/>
      <c r="D161" s="132"/>
      <c r="P161" s="111"/>
      <c r="Q161" s="111"/>
      <c r="R161" s="6"/>
    </row>
    <row r="162" spans="1:18" ht="17" x14ac:dyDescent="0.2">
      <c r="A162" s="111" t="s">
        <v>370</v>
      </c>
      <c r="B162" s="111" t="s">
        <v>369</v>
      </c>
      <c r="C162" s="8">
        <f>SUM(31000*123)</f>
        <v>3813000</v>
      </c>
      <c r="D162" s="8"/>
    </row>
    <row r="163" spans="1:18" ht="17" x14ac:dyDescent="0.2">
      <c r="A163" s="111" t="s">
        <v>382</v>
      </c>
      <c r="B163" s="111" t="s">
        <v>383</v>
      </c>
      <c r="C163" s="8">
        <v>18000</v>
      </c>
      <c r="D163" s="8"/>
    </row>
    <row r="164" spans="1:18" ht="17" x14ac:dyDescent="0.2">
      <c r="A164" s="12" t="s">
        <v>0</v>
      </c>
      <c r="C164" s="8"/>
      <c r="D164" s="11">
        <f>SUM(C162+C163)</f>
        <v>3831000</v>
      </c>
    </row>
    <row r="165" spans="1:18" x14ac:dyDescent="0.2">
      <c r="A165" s="42"/>
      <c r="B165" s="43"/>
      <c r="C165" s="116"/>
      <c r="D165" s="45"/>
    </row>
    <row r="166" spans="1:18" ht="17" x14ac:dyDescent="0.2">
      <c r="A166" s="108" t="s">
        <v>371</v>
      </c>
      <c r="B166" s="19"/>
      <c r="C166" s="18"/>
      <c r="D166" s="18"/>
    </row>
    <row r="167" spans="1:18" ht="67" customHeight="1" x14ac:dyDescent="0.2">
      <c r="A167" s="143" t="s">
        <v>566</v>
      </c>
      <c r="B167" s="143"/>
      <c r="C167" s="143"/>
      <c r="D167" s="144"/>
    </row>
    <row r="168" spans="1:18" ht="17" x14ac:dyDescent="0.2">
      <c r="A168" s="17" t="s">
        <v>373</v>
      </c>
      <c r="B168" s="17" t="s">
        <v>372</v>
      </c>
      <c r="C168" s="15">
        <f>SUM(5000*123)</f>
        <v>615000</v>
      </c>
      <c r="D168" s="18"/>
    </row>
    <row r="169" spans="1:18" ht="17" x14ac:dyDescent="0.2">
      <c r="A169" s="17" t="s">
        <v>399</v>
      </c>
      <c r="B169" s="17" t="s">
        <v>352</v>
      </c>
      <c r="C169" s="15">
        <v>185000</v>
      </c>
      <c r="D169" s="18"/>
    </row>
    <row r="170" spans="1:18" ht="17" x14ac:dyDescent="0.2">
      <c r="A170" s="17" t="s">
        <v>398</v>
      </c>
      <c r="B170" s="17" t="s">
        <v>400</v>
      </c>
      <c r="C170" s="18">
        <f>SUM(25000*7)</f>
        <v>175000</v>
      </c>
      <c r="D170" s="18"/>
    </row>
    <row r="171" spans="1:18" ht="17" x14ac:dyDescent="0.2">
      <c r="A171" s="19" t="s">
        <v>374</v>
      </c>
      <c r="B171" s="19" t="s">
        <v>375</v>
      </c>
      <c r="C171" s="15">
        <v>7500</v>
      </c>
      <c r="D171" s="18"/>
    </row>
    <row r="172" spans="1:18" ht="17" x14ac:dyDescent="0.2">
      <c r="A172" s="22" t="s">
        <v>0</v>
      </c>
      <c r="B172" s="19"/>
      <c r="C172" s="18"/>
      <c r="D172" s="20">
        <f>SUM(C168:C171)</f>
        <v>982500</v>
      </c>
    </row>
    <row r="173" spans="1:18" x14ac:dyDescent="0.2">
      <c r="A173" s="42"/>
      <c r="B173" s="43"/>
      <c r="C173" s="116"/>
      <c r="D173" s="45"/>
    </row>
    <row r="174" spans="1:18" ht="17" x14ac:dyDescent="0.2">
      <c r="A174" s="108" t="s">
        <v>376</v>
      </c>
      <c r="B174" s="19"/>
      <c r="C174" s="18"/>
      <c r="D174" s="18"/>
    </row>
    <row r="175" spans="1:18" ht="68" customHeight="1" x14ac:dyDescent="0.2">
      <c r="A175" s="143" t="s">
        <v>386</v>
      </c>
      <c r="B175" s="143"/>
      <c r="C175" s="143"/>
      <c r="D175" s="144"/>
    </row>
    <row r="176" spans="1:18" ht="17" x14ac:dyDescent="0.2">
      <c r="A176" s="17" t="s">
        <v>378</v>
      </c>
      <c r="B176" s="17" t="s">
        <v>377</v>
      </c>
      <c r="C176" s="15">
        <f>SUM(6000*123)</f>
        <v>738000</v>
      </c>
      <c r="D176" s="18"/>
    </row>
    <row r="177" spans="1:4" ht="17" x14ac:dyDescent="0.2">
      <c r="A177" s="17" t="s">
        <v>379</v>
      </c>
      <c r="B177" s="17" t="s">
        <v>380</v>
      </c>
      <c r="C177" s="18">
        <f>SUM(25000*5)</f>
        <v>125000</v>
      </c>
      <c r="D177" s="18"/>
    </row>
    <row r="178" spans="1:4" ht="17" x14ac:dyDescent="0.2">
      <c r="A178" s="19" t="s">
        <v>374</v>
      </c>
      <c r="B178" s="19" t="s">
        <v>375</v>
      </c>
      <c r="C178" s="15">
        <v>7500</v>
      </c>
      <c r="D178" s="18"/>
    </row>
    <row r="179" spans="1:4" ht="17" x14ac:dyDescent="0.2">
      <c r="A179" s="19" t="s">
        <v>381</v>
      </c>
      <c r="B179" s="19" t="s">
        <v>190</v>
      </c>
      <c r="C179" s="15">
        <f>500*123</f>
        <v>61500</v>
      </c>
      <c r="D179" s="18"/>
    </row>
    <row r="180" spans="1:4" ht="17" x14ac:dyDescent="0.2">
      <c r="A180" s="22" t="s">
        <v>0</v>
      </c>
      <c r="B180" s="19"/>
      <c r="C180" s="18"/>
      <c r="D180" s="20">
        <f>SUM(C176:C179)</f>
        <v>932000</v>
      </c>
    </row>
    <row r="181" spans="1:4" x14ac:dyDescent="0.2">
      <c r="A181" s="56"/>
      <c r="B181" s="110"/>
      <c r="C181" s="57"/>
      <c r="D181" s="58"/>
    </row>
    <row r="182" spans="1:4" ht="17" x14ac:dyDescent="0.2">
      <c r="A182" s="108" t="s">
        <v>393</v>
      </c>
      <c r="B182" s="108"/>
      <c r="C182" s="30"/>
      <c r="D182" s="35"/>
    </row>
    <row r="183" spans="1:4" ht="82" customHeight="1" x14ac:dyDescent="0.2">
      <c r="A183" s="143" t="s">
        <v>404</v>
      </c>
      <c r="B183" s="143"/>
      <c r="C183" s="143"/>
      <c r="D183" s="144"/>
    </row>
    <row r="184" spans="1:4" ht="17" x14ac:dyDescent="0.2">
      <c r="A184" s="34" t="s">
        <v>401</v>
      </c>
      <c r="B184" s="17" t="s">
        <v>402</v>
      </c>
      <c r="C184" s="30">
        <v>387000</v>
      </c>
      <c r="D184" s="35"/>
    </row>
    <row r="185" spans="1:4" ht="17" x14ac:dyDescent="0.2">
      <c r="A185" s="21" t="s">
        <v>0</v>
      </c>
      <c r="C185" s="8"/>
      <c r="D185" s="7">
        <f>SUM(C184:C184)</f>
        <v>387000</v>
      </c>
    </row>
    <row r="186" spans="1:4" x14ac:dyDescent="0.2">
      <c r="A186" s="42"/>
      <c r="B186" s="43"/>
      <c r="C186" s="116"/>
      <c r="D186" s="45"/>
    </row>
    <row r="187" spans="1:4" ht="17" x14ac:dyDescent="0.2">
      <c r="A187" s="108" t="s">
        <v>145</v>
      </c>
      <c r="B187" s="19"/>
      <c r="C187" s="18"/>
      <c r="D187" s="18"/>
    </row>
    <row r="188" spans="1:4" ht="61" customHeight="1" x14ac:dyDescent="0.2">
      <c r="A188" s="138" t="s">
        <v>363</v>
      </c>
      <c r="B188" s="138"/>
      <c r="C188" s="138"/>
      <c r="D188" s="138"/>
    </row>
    <row r="189" spans="1:4" ht="17" x14ac:dyDescent="0.2">
      <c r="A189" s="17" t="s">
        <v>360</v>
      </c>
      <c r="B189" s="17" t="s">
        <v>361</v>
      </c>
      <c r="C189" s="15">
        <f>6000*123</f>
        <v>738000</v>
      </c>
      <c r="D189" s="18"/>
    </row>
    <row r="190" spans="1:4" ht="17" x14ac:dyDescent="0.2">
      <c r="A190" s="17" t="s">
        <v>448</v>
      </c>
      <c r="B190" s="17" t="s">
        <v>449</v>
      </c>
      <c r="C190" s="15">
        <v>172000</v>
      </c>
      <c r="D190" s="18"/>
    </row>
    <row r="191" spans="1:4" ht="17" x14ac:dyDescent="0.2">
      <c r="A191" s="17" t="s">
        <v>364</v>
      </c>
      <c r="B191" s="17" t="s">
        <v>365</v>
      </c>
      <c r="C191" s="15">
        <f>40000*5</f>
        <v>200000</v>
      </c>
      <c r="D191" s="18"/>
    </row>
    <row r="192" spans="1:4" ht="17" x14ac:dyDescent="0.2">
      <c r="A192" s="17" t="s">
        <v>3</v>
      </c>
      <c r="B192" s="17" t="s">
        <v>366</v>
      </c>
      <c r="C192" s="15">
        <v>313500</v>
      </c>
      <c r="D192" s="18"/>
    </row>
    <row r="193" spans="1:9" ht="17" x14ac:dyDescent="0.2">
      <c r="A193" s="17" t="s">
        <v>12</v>
      </c>
      <c r="B193" s="17" t="s">
        <v>362</v>
      </c>
      <c r="C193" s="15">
        <v>7500</v>
      </c>
      <c r="D193" s="18"/>
    </row>
    <row r="194" spans="1:9" ht="17" x14ac:dyDescent="0.2">
      <c r="A194" s="22" t="s">
        <v>0</v>
      </c>
      <c r="B194" s="19"/>
      <c r="C194" s="18"/>
      <c r="D194" s="20">
        <f>SUM(C189:C193)</f>
        <v>1431000</v>
      </c>
    </row>
    <row r="195" spans="1:9" x14ac:dyDescent="0.2">
      <c r="A195" s="42"/>
      <c r="B195" s="43"/>
      <c r="C195" s="116"/>
      <c r="D195" s="45"/>
    </row>
    <row r="196" spans="1:9" ht="17" x14ac:dyDescent="0.2">
      <c r="A196" s="114" t="s">
        <v>440</v>
      </c>
      <c r="C196" s="8"/>
      <c r="D196" s="8"/>
    </row>
    <row r="197" spans="1:9" ht="48" customHeight="1" x14ac:dyDescent="0.2">
      <c r="A197" s="139" t="s">
        <v>447</v>
      </c>
      <c r="B197" s="139"/>
      <c r="C197" s="139"/>
      <c r="D197" s="139"/>
    </row>
    <row r="198" spans="1:9" ht="17" x14ac:dyDescent="0.2">
      <c r="A198" s="5" t="s">
        <v>360</v>
      </c>
      <c r="B198" s="5" t="s">
        <v>82</v>
      </c>
      <c r="C198" s="6">
        <f>3500*123</f>
        <v>430500</v>
      </c>
      <c r="D198" s="8"/>
    </row>
    <row r="199" spans="1:9" ht="17" x14ac:dyDescent="0.2">
      <c r="A199" s="5" t="s">
        <v>450</v>
      </c>
      <c r="B199" s="5" t="s">
        <v>451</v>
      </c>
      <c r="C199" s="6">
        <v>185000</v>
      </c>
      <c r="D199" s="8"/>
    </row>
    <row r="200" spans="1:9" ht="17" x14ac:dyDescent="0.2">
      <c r="A200" s="5" t="s">
        <v>441</v>
      </c>
      <c r="B200" s="5" t="s">
        <v>443</v>
      </c>
      <c r="C200" s="6">
        <f>40000*10</f>
        <v>400000</v>
      </c>
      <c r="D200" s="8"/>
    </row>
    <row r="201" spans="1:9" ht="17" x14ac:dyDescent="0.2">
      <c r="A201" s="5" t="s">
        <v>3</v>
      </c>
      <c r="B201" s="5" t="s">
        <v>442</v>
      </c>
      <c r="C201" s="6">
        <v>627000</v>
      </c>
      <c r="D201" s="8"/>
    </row>
    <row r="202" spans="1:9" ht="17" x14ac:dyDescent="0.2">
      <c r="A202" s="5" t="s">
        <v>12</v>
      </c>
      <c r="B202" s="5" t="s">
        <v>362</v>
      </c>
      <c r="C202" s="6">
        <v>7500</v>
      </c>
      <c r="D202" s="8"/>
    </row>
    <row r="203" spans="1:9" ht="17" x14ac:dyDescent="0.2">
      <c r="A203" s="5" t="s">
        <v>444</v>
      </c>
      <c r="B203" s="5" t="s">
        <v>483</v>
      </c>
      <c r="C203" s="6">
        <v>100000</v>
      </c>
      <c r="D203" s="8"/>
    </row>
    <row r="204" spans="1:9" ht="17" x14ac:dyDescent="0.2">
      <c r="A204" s="5" t="s">
        <v>445</v>
      </c>
      <c r="B204" s="5" t="s">
        <v>446</v>
      </c>
      <c r="C204" s="6">
        <v>150000</v>
      </c>
      <c r="D204" s="8"/>
    </row>
    <row r="205" spans="1:9" ht="17" x14ac:dyDescent="0.2">
      <c r="A205" s="21" t="s">
        <v>0</v>
      </c>
      <c r="C205" s="8"/>
      <c r="D205" s="7">
        <f>SUM(C198:C204)</f>
        <v>1900000</v>
      </c>
    </row>
    <row r="206" spans="1:9" x14ac:dyDescent="0.2">
      <c r="A206" s="42"/>
      <c r="B206" s="43"/>
      <c r="C206" s="116"/>
      <c r="D206" s="45"/>
    </row>
    <row r="207" spans="1:9" x14ac:dyDescent="0.2">
      <c r="A207" s="117" t="s">
        <v>545</v>
      </c>
      <c r="B207" s="108"/>
      <c r="C207" s="30"/>
      <c r="D207" s="35"/>
    </row>
    <row r="208" spans="1:9" ht="48" customHeight="1" x14ac:dyDescent="0.2">
      <c r="A208" s="131" t="s">
        <v>546</v>
      </c>
      <c r="B208" s="150"/>
      <c r="C208" s="150"/>
      <c r="D208" s="150"/>
      <c r="E208" s="150"/>
      <c r="F208" s="150"/>
      <c r="G208" s="150"/>
      <c r="H208" s="150"/>
      <c r="I208" s="150"/>
    </row>
    <row r="209" spans="1:4" ht="17" x14ac:dyDescent="0.2">
      <c r="A209" s="106" t="s">
        <v>547</v>
      </c>
      <c r="B209" s="17" t="s">
        <v>550</v>
      </c>
      <c r="C209" s="30">
        <f>40000*10</f>
        <v>400000</v>
      </c>
      <c r="D209" s="35"/>
    </row>
    <row r="210" spans="1:4" ht="17" x14ac:dyDescent="0.2">
      <c r="A210" s="106" t="s">
        <v>3</v>
      </c>
      <c r="B210" s="17" t="s">
        <v>548</v>
      </c>
      <c r="C210" s="30">
        <v>500000</v>
      </c>
      <c r="D210" s="35"/>
    </row>
    <row r="211" spans="1:4" ht="17" x14ac:dyDescent="0.2">
      <c r="A211" s="106" t="s">
        <v>549</v>
      </c>
      <c r="B211" s="17" t="s">
        <v>412</v>
      </c>
      <c r="C211" s="30">
        <v>62000</v>
      </c>
      <c r="D211" s="35"/>
    </row>
    <row r="212" spans="1:4" ht="17" x14ac:dyDescent="0.2">
      <c r="A212" s="5" t="s">
        <v>12</v>
      </c>
      <c r="B212" s="5" t="s">
        <v>362</v>
      </c>
      <c r="C212" s="6">
        <v>8000</v>
      </c>
      <c r="D212" s="35"/>
    </row>
    <row r="213" spans="1:4" s="59" customFormat="1" ht="17" x14ac:dyDescent="0.2">
      <c r="A213" s="22" t="s">
        <v>0</v>
      </c>
      <c r="B213" s="108"/>
      <c r="C213" s="35"/>
      <c r="D213" s="35">
        <f>SUM(C212+C211+C210+C209)</f>
        <v>970000</v>
      </c>
    </row>
    <row r="214" spans="1:4" x14ac:dyDescent="0.2">
      <c r="A214" s="42"/>
      <c r="B214" s="43"/>
      <c r="C214" s="116"/>
      <c r="D214" s="45"/>
    </row>
    <row r="215" spans="1:4" ht="17" x14ac:dyDescent="0.2">
      <c r="A215" s="108" t="s">
        <v>147</v>
      </c>
      <c r="C215" s="8"/>
      <c r="D215" s="8"/>
    </row>
    <row r="216" spans="1:4" ht="51" customHeight="1" x14ac:dyDescent="0.2">
      <c r="A216" s="134" t="s">
        <v>557</v>
      </c>
      <c r="B216" s="134"/>
      <c r="C216" s="134"/>
      <c r="D216" s="134"/>
    </row>
    <row r="217" spans="1:4" ht="17" x14ac:dyDescent="0.2">
      <c r="A217" s="5" t="s">
        <v>472</v>
      </c>
      <c r="B217" s="111" t="s">
        <v>473</v>
      </c>
      <c r="C217" s="55">
        <f>42000*6*2</f>
        <v>504000</v>
      </c>
      <c r="D217" s="8"/>
    </row>
    <row r="218" spans="1:4" ht="17" x14ac:dyDescent="0.2">
      <c r="A218" s="5" t="s">
        <v>67</v>
      </c>
      <c r="B218" s="111" t="s">
        <v>316</v>
      </c>
      <c r="C218" s="55">
        <f>1000*30*3*2</f>
        <v>180000</v>
      </c>
      <c r="D218" s="8"/>
    </row>
    <row r="219" spans="1:4" ht="17" x14ac:dyDescent="0.2">
      <c r="A219" s="5" t="s">
        <v>148</v>
      </c>
      <c r="C219" s="55">
        <v>180000</v>
      </c>
      <c r="D219" s="8"/>
    </row>
    <row r="220" spans="1:4" ht="17" x14ac:dyDescent="0.2">
      <c r="A220" s="5" t="s">
        <v>144</v>
      </c>
      <c r="B220" s="111" t="s">
        <v>68</v>
      </c>
      <c r="C220" s="18">
        <v>197000</v>
      </c>
      <c r="D220" s="8"/>
    </row>
    <row r="221" spans="1:4" ht="17" x14ac:dyDescent="0.2">
      <c r="A221" s="12" t="s">
        <v>0</v>
      </c>
      <c r="C221" s="18"/>
      <c r="D221" s="11">
        <f>SUM(C217:C220)</f>
        <v>1061000</v>
      </c>
    </row>
    <row r="222" spans="1:4" x14ac:dyDescent="0.2">
      <c r="A222" s="56"/>
      <c r="B222" s="118"/>
      <c r="C222" s="119"/>
      <c r="D222" s="120"/>
    </row>
    <row r="223" spans="1:4" ht="17" x14ac:dyDescent="0.2">
      <c r="A223" s="114" t="s">
        <v>453</v>
      </c>
      <c r="B223" s="3"/>
      <c r="D223" s="64"/>
    </row>
    <row r="224" spans="1:4" ht="17" x14ac:dyDescent="0.2">
      <c r="A224" s="65" t="s">
        <v>454</v>
      </c>
      <c r="B224" s="3"/>
      <c r="D224" s="64"/>
    </row>
    <row r="225" spans="1:4" ht="41" customHeight="1" x14ac:dyDescent="0.2">
      <c r="A225" s="137" t="s">
        <v>471</v>
      </c>
      <c r="B225" s="137"/>
      <c r="C225" s="137"/>
      <c r="D225" s="137"/>
    </row>
    <row r="226" spans="1:4" ht="17" x14ac:dyDescent="0.2">
      <c r="A226" s="5" t="s">
        <v>455</v>
      </c>
      <c r="B226" s="111" t="s">
        <v>456</v>
      </c>
      <c r="C226" s="33">
        <v>571000</v>
      </c>
      <c r="D226" s="64"/>
    </row>
    <row r="227" spans="1:4" ht="17" x14ac:dyDescent="0.2">
      <c r="A227" s="5" t="s">
        <v>457</v>
      </c>
      <c r="B227" s="111" t="s">
        <v>458</v>
      </c>
      <c r="C227" s="33">
        <v>350000</v>
      </c>
      <c r="D227" s="64"/>
    </row>
    <row r="228" spans="1:4" ht="17" x14ac:dyDescent="0.2">
      <c r="A228" s="5" t="s">
        <v>459</v>
      </c>
      <c r="C228" s="33">
        <v>30000</v>
      </c>
      <c r="D228" s="64"/>
    </row>
    <row r="229" spans="1:4" ht="17" x14ac:dyDescent="0.2">
      <c r="A229" s="5" t="s">
        <v>460</v>
      </c>
      <c r="C229" s="33">
        <v>40000</v>
      </c>
      <c r="D229" s="64"/>
    </row>
    <row r="230" spans="1:4" ht="17" x14ac:dyDescent="0.2">
      <c r="A230" s="5" t="s">
        <v>461</v>
      </c>
      <c r="B230" s="111" t="s">
        <v>462</v>
      </c>
      <c r="C230" s="33">
        <v>310000</v>
      </c>
      <c r="D230" s="64"/>
    </row>
    <row r="231" spans="1:4" ht="17" x14ac:dyDescent="0.2">
      <c r="A231" s="5" t="s">
        <v>463</v>
      </c>
      <c r="B231" s="111" t="s">
        <v>484</v>
      </c>
      <c r="C231" s="33">
        <v>614500</v>
      </c>
      <c r="D231" s="64"/>
    </row>
    <row r="232" spans="1:4" ht="17" x14ac:dyDescent="0.2">
      <c r="A232" s="5" t="s">
        <v>464</v>
      </c>
      <c r="B232" s="111" t="s">
        <v>484</v>
      </c>
      <c r="C232" s="33">
        <v>614500</v>
      </c>
      <c r="D232" s="64"/>
    </row>
    <row r="233" spans="1:4" ht="17" x14ac:dyDescent="0.2">
      <c r="A233" s="5" t="s">
        <v>12</v>
      </c>
      <c r="B233" s="111" t="s">
        <v>465</v>
      </c>
      <c r="C233" s="33">
        <f>2100*10*12</f>
        <v>252000</v>
      </c>
      <c r="D233" s="64"/>
    </row>
    <row r="234" spans="1:4" ht="17" x14ac:dyDescent="0.2">
      <c r="A234" s="5" t="s">
        <v>466</v>
      </c>
      <c r="B234" s="111" t="s">
        <v>467</v>
      </c>
      <c r="C234" s="33">
        <v>20000</v>
      </c>
      <c r="D234" s="64"/>
    </row>
    <row r="235" spans="1:4" ht="17" x14ac:dyDescent="0.2">
      <c r="A235" s="5" t="s">
        <v>468</v>
      </c>
      <c r="B235" s="111" t="s">
        <v>467</v>
      </c>
      <c r="C235" s="33">
        <v>20000</v>
      </c>
      <c r="D235" s="64"/>
    </row>
    <row r="236" spans="1:4" ht="17" x14ac:dyDescent="0.2">
      <c r="A236" s="5" t="s">
        <v>469</v>
      </c>
      <c r="B236" s="111" t="s">
        <v>470</v>
      </c>
      <c r="C236" s="33">
        <v>300000</v>
      </c>
      <c r="D236" s="64"/>
    </row>
    <row r="237" spans="1:4" ht="17" x14ac:dyDescent="0.2">
      <c r="A237" s="12" t="s">
        <v>0</v>
      </c>
      <c r="B237" s="3"/>
      <c r="D237" s="11">
        <f>SUM(C226:C236)</f>
        <v>3122000</v>
      </c>
    </row>
    <row r="238" spans="1:4" x14ac:dyDescent="0.2">
      <c r="A238" s="56"/>
      <c r="B238" s="118"/>
      <c r="C238" s="119"/>
      <c r="D238" s="120"/>
    </row>
    <row r="239" spans="1:4" ht="17" x14ac:dyDescent="0.2">
      <c r="A239" s="108" t="s">
        <v>87</v>
      </c>
      <c r="B239" s="108"/>
      <c r="C239" s="19"/>
      <c r="D239" s="19"/>
    </row>
    <row r="240" spans="1:4" ht="43" customHeight="1" x14ac:dyDescent="0.2">
      <c r="A240" s="131" t="s">
        <v>384</v>
      </c>
      <c r="B240" s="131"/>
      <c r="C240" s="131"/>
      <c r="D240" s="155"/>
    </row>
    <row r="241" spans="1:4" ht="17" x14ac:dyDescent="0.2">
      <c r="A241" s="17" t="s">
        <v>387</v>
      </c>
      <c r="B241" s="17"/>
      <c r="C241" s="18">
        <v>500000</v>
      </c>
      <c r="D241" s="18"/>
    </row>
    <row r="242" spans="1:4" ht="17" x14ac:dyDescent="0.2">
      <c r="A242" s="22" t="s">
        <v>0</v>
      </c>
      <c r="B242" s="19"/>
      <c r="C242" s="19"/>
      <c r="D242" s="20">
        <f>SUM(C241:C241)</f>
        <v>500000</v>
      </c>
    </row>
    <row r="243" spans="1:4" x14ac:dyDescent="0.2">
      <c r="A243" s="42"/>
      <c r="B243" s="43"/>
      <c r="C243" s="116"/>
      <c r="D243" s="45"/>
    </row>
    <row r="244" spans="1:4" ht="17" x14ac:dyDescent="0.2">
      <c r="A244" s="108" t="s">
        <v>112</v>
      </c>
      <c r="B244" s="108"/>
      <c r="C244" s="19"/>
      <c r="D244" s="19"/>
    </row>
    <row r="245" spans="1:4" ht="54" customHeight="1" x14ac:dyDescent="0.2">
      <c r="A245" s="131" t="s">
        <v>113</v>
      </c>
      <c r="B245" s="131"/>
      <c r="C245" s="131"/>
      <c r="D245" s="155"/>
    </row>
    <row r="246" spans="1:4" ht="17" x14ac:dyDescent="0.2">
      <c r="A246" s="19" t="s">
        <v>115</v>
      </c>
      <c r="B246" s="17" t="s">
        <v>116</v>
      </c>
      <c r="C246" s="18">
        <v>98500</v>
      </c>
      <c r="D246" s="18"/>
    </row>
    <row r="247" spans="1:4" ht="17" x14ac:dyDescent="0.2">
      <c r="A247" s="17" t="s">
        <v>114</v>
      </c>
      <c r="B247" s="17" t="s">
        <v>117</v>
      </c>
      <c r="C247" s="18">
        <v>448000</v>
      </c>
      <c r="D247" s="18"/>
    </row>
    <row r="248" spans="1:4" ht="17" x14ac:dyDescent="0.2">
      <c r="A248" s="17" t="s">
        <v>119</v>
      </c>
      <c r="B248" s="17" t="s">
        <v>118</v>
      </c>
      <c r="C248" s="18">
        <f>SUM(4000*8*6)</f>
        <v>192000</v>
      </c>
      <c r="D248" s="18"/>
    </row>
    <row r="249" spans="1:4" ht="17" x14ac:dyDescent="0.2">
      <c r="A249" s="19" t="s">
        <v>120</v>
      </c>
      <c r="B249" s="17" t="s">
        <v>123</v>
      </c>
      <c r="C249" s="18">
        <v>74000</v>
      </c>
      <c r="D249" s="18"/>
    </row>
    <row r="250" spans="1:4" ht="17" x14ac:dyDescent="0.2">
      <c r="A250" s="17" t="s">
        <v>121</v>
      </c>
      <c r="B250" s="17" t="s">
        <v>124</v>
      </c>
      <c r="C250" s="18">
        <v>112000</v>
      </c>
      <c r="D250" s="18"/>
    </row>
    <row r="251" spans="1:4" ht="17" x14ac:dyDescent="0.2">
      <c r="A251" s="17" t="s">
        <v>122</v>
      </c>
      <c r="B251" s="17" t="s">
        <v>125</v>
      </c>
      <c r="C251" s="18">
        <f>SUM(4000*2*6)</f>
        <v>48000</v>
      </c>
      <c r="D251" s="18"/>
    </row>
    <row r="252" spans="1:4" ht="17" x14ac:dyDescent="0.2">
      <c r="A252" s="17" t="s">
        <v>126</v>
      </c>
      <c r="B252" s="17" t="s">
        <v>127</v>
      </c>
      <c r="C252" s="18">
        <f>SUM(1500*3*123)</f>
        <v>553500</v>
      </c>
      <c r="D252" s="18"/>
    </row>
    <row r="253" spans="1:4" ht="17" x14ac:dyDescent="0.2">
      <c r="A253" s="22" t="s">
        <v>0</v>
      </c>
      <c r="B253" s="19"/>
      <c r="C253" s="19"/>
      <c r="D253" s="20">
        <f>SUM(C246:C252)</f>
        <v>1526000</v>
      </c>
    </row>
    <row r="254" spans="1:4" x14ac:dyDescent="0.2">
      <c r="A254" s="42"/>
      <c r="B254" s="43"/>
      <c r="C254" s="116"/>
      <c r="D254" s="45"/>
    </row>
    <row r="255" spans="1:4" ht="17" x14ac:dyDescent="0.2">
      <c r="A255" s="114" t="s">
        <v>142</v>
      </c>
      <c r="B255" s="114"/>
      <c r="C255" s="111"/>
      <c r="D255" s="111"/>
    </row>
    <row r="256" spans="1:4" ht="49" customHeight="1" x14ac:dyDescent="0.2">
      <c r="A256" s="131" t="s">
        <v>143</v>
      </c>
      <c r="B256" s="131"/>
      <c r="C256" s="131"/>
      <c r="D256" s="156"/>
    </row>
    <row r="257" spans="1:4" ht="17" x14ac:dyDescent="0.2">
      <c r="A257" s="111" t="s">
        <v>309</v>
      </c>
      <c r="B257" s="5" t="s">
        <v>61</v>
      </c>
      <c r="C257" s="8">
        <f>SUM(5000*123)</f>
        <v>615000</v>
      </c>
      <c r="D257" s="8"/>
    </row>
    <row r="258" spans="1:4" ht="17" x14ac:dyDescent="0.2">
      <c r="A258" s="111" t="s">
        <v>131</v>
      </c>
      <c r="B258" s="5" t="s">
        <v>36</v>
      </c>
      <c r="C258" s="8">
        <f>SUM(3000*123)</f>
        <v>369000</v>
      </c>
      <c r="D258" s="8"/>
    </row>
    <row r="259" spans="1:4" ht="17" x14ac:dyDescent="0.2">
      <c r="A259" s="5" t="s">
        <v>310</v>
      </c>
      <c r="B259" s="5"/>
      <c r="C259" s="8">
        <v>127000</v>
      </c>
      <c r="D259" s="8"/>
    </row>
    <row r="260" spans="1:4" ht="17" x14ac:dyDescent="0.2">
      <c r="A260" s="5" t="s">
        <v>128</v>
      </c>
      <c r="B260" s="5"/>
      <c r="C260" s="8">
        <v>20000</v>
      </c>
      <c r="D260" s="8"/>
    </row>
    <row r="261" spans="1:4" ht="17" x14ac:dyDescent="0.2">
      <c r="A261" s="111" t="s">
        <v>129</v>
      </c>
      <c r="B261" s="5"/>
      <c r="C261" s="18">
        <v>70000</v>
      </c>
      <c r="D261" s="8"/>
    </row>
    <row r="262" spans="1:4" ht="17" x14ac:dyDescent="0.2">
      <c r="A262" s="21" t="s">
        <v>0</v>
      </c>
      <c r="C262" s="111"/>
      <c r="D262" s="7">
        <f>SUM(C257:C261)</f>
        <v>1201000</v>
      </c>
    </row>
    <row r="263" spans="1:4" x14ac:dyDescent="0.2">
      <c r="A263" s="42"/>
      <c r="B263" s="43"/>
      <c r="C263" s="116"/>
      <c r="D263" s="45"/>
    </row>
    <row r="264" spans="1:4" x14ac:dyDescent="0.2">
      <c r="A264" s="130" t="s">
        <v>56</v>
      </c>
      <c r="B264" s="130"/>
      <c r="C264" s="8"/>
      <c r="D264" s="8"/>
    </row>
    <row r="265" spans="1:4" ht="38" customHeight="1" x14ac:dyDescent="0.2">
      <c r="A265" s="140" t="s">
        <v>314</v>
      </c>
      <c r="B265" s="140"/>
      <c r="C265" s="140"/>
      <c r="D265" s="141"/>
    </row>
    <row r="266" spans="1:4" ht="17" x14ac:dyDescent="0.2">
      <c r="A266" s="5" t="s">
        <v>136</v>
      </c>
      <c r="C266" s="15">
        <v>63500</v>
      </c>
      <c r="D266" s="8"/>
    </row>
    <row r="267" spans="1:4" ht="17" x14ac:dyDescent="0.2">
      <c r="A267" s="5" t="s">
        <v>137</v>
      </c>
      <c r="C267" s="6">
        <v>63500</v>
      </c>
      <c r="D267" s="8"/>
    </row>
    <row r="268" spans="1:4" ht="17" x14ac:dyDescent="0.2">
      <c r="A268" s="5" t="s">
        <v>318</v>
      </c>
      <c r="C268" s="6">
        <v>444000</v>
      </c>
      <c r="D268" s="8"/>
    </row>
    <row r="269" spans="1:4" ht="17" x14ac:dyDescent="0.2">
      <c r="A269" s="5" t="s">
        <v>319</v>
      </c>
      <c r="C269" s="6">
        <v>68500</v>
      </c>
      <c r="D269" s="8"/>
    </row>
    <row r="270" spans="1:4" ht="17" x14ac:dyDescent="0.2">
      <c r="A270" s="5" t="s">
        <v>320</v>
      </c>
      <c r="C270" s="6">
        <v>28000</v>
      </c>
      <c r="D270" s="8"/>
    </row>
    <row r="271" spans="1:4" ht="17" x14ac:dyDescent="0.2">
      <c r="A271" s="5" t="s">
        <v>146</v>
      </c>
      <c r="C271" s="6">
        <v>5000000</v>
      </c>
      <c r="D271" s="8"/>
    </row>
    <row r="272" spans="1:4" ht="17" x14ac:dyDescent="0.2">
      <c r="A272" s="21" t="s">
        <v>0</v>
      </c>
      <c r="C272" s="8"/>
      <c r="D272" s="7">
        <f>SUM(C266:C271)</f>
        <v>5667500</v>
      </c>
    </row>
    <row r="273" spans="1:13" x14ac:dyDescent="0.2">
      <c r="A273" s="42"/>
      <c r="B273" s="43"/>
      <c r="C273" s="116"/>
      <c r="D273" s="45"/>
    </row>
    <row r="274" spans="1:13" ht="17" x14ac:dyDescent="0.2">
      <c r="A274" s="108" t="s">
        <v>389</v>
      </c>
      <c r="B274" s="108"/>
      <c r="C274" s="30"/>
      <c r="D274" s="35"/>
    </row>
    <row r="275" spans="1:13" ht="52" customHeight="1" x14ac:dyDescent="0.2">
      <c r="A275" s="143" t="s">
        <v>388</v>
      </c>
      <c r="B275" s="143"/>
      <c r="C275" s="143"/>
      <c r="D275" s="144"/>
      <c r="M275" s="121"/>
    </row>
    <row r="276" spans="1:13" ht="17" x14ac:dyDescent="0.2">
      <c r="A276" s="34" t="s">
        <v>390</v>
      </c>
      <c r="B276" s="17" t="s">
        <v>392</v>
      </c>
      <c r="C276" s="30">
        <v>160000</v>
      </c>
      <c r="D276" s="35"/>
      <c r="M276" s="122"/>
    </row>
    <row r="277" spans="1:13" ht="18" x14ac:dyDescent="0.2">
      <c r="A277" s="3" t="s">
        <v>391</v>
      </c>
      <c r="B277" s="36" t="s">
        <v>31</v>
      </c>
      <c r="C277" s="30">
        <v>20000</v>
      </c>
      <c r="D277" s="35"/>
      <c r="M277" s="123"/>
    </row>
    <row r="278" spans="1:13" ht="17" x14ac:dyDescent="0.2">
      <c r="A278" s="21" t="s">
        <v>0</v>
      </c>
      <c r="C278" s="8"/>
      <c r="D278" s="7">
        <f>SUM(C276:C277)</f>
        <v>180000</v>
      </c>
    </row>
    <row r="279" spans="1:13" x14ac:dyDescent="0.2">
      <c r="A279" s="133"/>
      <c r="B279" s="133"/>
      <c r="C279" s="133"/>
      <c r="D279" s="133"/>
    </row>
    <row r="280" spans="1:13" x14ac:dyDescent="0.2">
      <c r="A280" s="130" t="s">
        <v>57</v>
      </c>
      <c r="B280" s="130"/>
      <c r="C280" s="8"/>
      <c r="D280" s="8"/>
    </row>
    <row r="281" spans="1:13" ht="36" customHeight="1" x14ac:dyDescent="0.2">
      <c r="A281" s="140" t="s">
        <v>17</v>
      </c>
      <c r="B281" s="140"/>
      <c r="C281" s="140"/>
      <c r="D281" s="141"/>
    </row>
    <row r="282" spans="1:13" ht="15" customHeight="1" x14ac:dyDescent="0.2">
      <c r="A282" s="113" t="s">
        <v>69</v>
      </c>
      <c r="B282" s="5" t="s">
        <v>47</v>
      </c>
      <c r="C282" s="13">
        <f>SUM(2000*123)</f>
        <v>246000</v>
      </c>
      <c r="D282" s="109"/>
    </row>
    <row r="283" spans="1:13" ht="17" x14ac:dyDescent="0.2">
      <c r="A283" s="5" t="s">
        <v>350</v>
      </c>
      <c r="B283" s="5" t="s">
        <v>58</v>
      </c>
      <c r="C283" s="15">
        <v>184000</v>
      </c>
      <c r="D283" s="8"/>
    </row>
    <row r="284" spans="1:13" ht="17" x14ac:dyDescent="0.2">
      <c r="A284" s="22" t="s">
        <v>0</v>
      </c>
      <c r="B284" s="19"/>
      <c r="C284" s="18"/>
      <c r="D284" s="20">
        <f>SUM(C282:C283)</f>
        <v>430000</v>
      </c>
      <c r="K284" s="33"/>
    </row>
    <row r="285" spans="1:13" x14ac:dyDescent="0.2">
      <c r="A285" s="42"/>
      <c r="B285" s="43"/>
      <c r="C285" s="116"/>
      <c r="D285" s="45"/>
    </row>
    <row r="286" spans="1:13" ht="17" x14ac:dyDescent="0.2">
      <c r="A286" s="114" t="s">
        <v>59</v>
      </c>
      <c r="C286" s="8"/>
      <c r="D286" s="8"/>
    </row>
    <row r="287" spans="1:13" ht="55" customHeight="1" x14ac:dyDescent="0.2">
      <c r="A287" s="143" t="s">
        <v>353</v>
      </c>
      <c r="B287" s="143"/>
      <c r="C287" s="143"/>
      <c r="D287" s="149"/>
    </row>
    <row r="288" spans="1:13" ht="17" x14ac:dyDescent="0.2">
      <c r="A288" s="5" t="s">
        <v>18</v>
      </c>
      <c r="B288" s="5" t="s">
        <v>60</v>
      </c>
      <c r="C288" s="6">
        <f>SUM(11000*123)</f>
        <v>1353000</v>
      </c>
      <c r="D288" s="8"/>
    </row>
    <row r="289" spans="1:4" ht="17" x14ac:dyDescent="0.2">
      <c r="A289" s="5" t="s">
        <v>12</v>
      </c>
      <c r="B289" s="5" t="s">
        <v>78</v>
      </c>
      <c r="C289" s="6">
        <v>11000</v>
      </c>
      <c r="D289" s="8"/>
    </row>
    <row r="290" spans="1:4" ht="17" x14ac:dyDescent="0.2">
      <c r="A290" s="21" t="s">
        <v>0</v>
      </c>
      <c r="C290" s="8"/>
      <c r="D290" s="7">
        <f>SUM(C288:C289)</f>
        <v>1364000</v>
      </c>
    </row>
    <row r="291" spans="1:4" x14ac:dyDescent="0.2">
      <c r="A291" s="42"/>
      <c r="B291" s="43"/>
      <c r="C291" s="116"/>
      <c r="D291" s="45"/>
    </row>
    <row r="292" spans="1:4" ht="17" x14ac:dyDescent="0.2">
      <c r="A292" s="48" t="s">
        <v>218</v>
      </c>
      <c r="B292" s="49"/>
      <c r="C292" s="50"/>
      <c r="D292" s="51"/>
    </row>
    <row r="293" spans="1:4" ht="17" x14ac:dyDescent="0.2">
      <c r="A293" s="52" t="s">
        <v>69</v>
      </c>
      <c r="B293" s="53" t="s">
        <v>100</v>
      </c>
      <c r="C293" s="50">
        <v>45000</v>
      </c>
      <c r="D293" s="51"/>
    </row>
    <row r="294" spans="1:4" ht="17" x14ac:dyDescent="0.2">
      <c r="A294" s="52" t="s">
        <v>217</v>
      </c>
      <c r="B294" s="53" t="s">
        <v>531</v>
      </c>
      <c r="C294" s="50">
        <v>94000</v>
      </c>
      <c r="D294" s="51"/>
    </row>
    <row r="295" spans="1:4" ht="17" x14ac:dyDescent="0.2">
      <c r="A295" s="1" t="s">
        <v>55</v>
      </c>
      <c r="B295" s="49"/>
      <c r="C295" s="50"/>
      <c r="D295" s="54">
        <f>SUM(C293:C294)</f>
        <v>139000</v>
      </c>
    </row>
    <row r="296" spans="1:4" x14ac:dyDescent="0.2">
      <c r="A296" s="136"/>
      <c r="B296" s="136"/>
      <c r="C296" s="136"/>
      <c r="D296" s="136"/>
    </row>
    <row r="297" spans="1:4" x14ac:dyDescent="0.2">
      <c r="A297" s="130" t="s">
        <v>62</v>
      </c>
      <c r="B297" s="130"/>
      <c r="C297" s="8"/>
      <c r="D297" s="8"/>
    </row>
    <row r="298" spans="1:4" ht="81" customHeight="1" x14ac:dyDescent="0.2">
      <c r="A298" s="143" t="s">
        <v>71</v>
      </c>
      <c r="B298" s="143"/>
      <c r="C298" s="143"/>
      <c r="D298" s="149"/>
    </row>
    <row r="299" spans="1:4" ht="17" x14ac:dyDescent="0.2">
      <c r="A299" s="5" t="s">
        <v>63</v>
      </c>
      <c r="B299" s="4" t="s">
        <v>64</v>
      </c>
      <c r="C299" s="6">
        <f>SUM(10000*123)</f>
        <v>1230000</v>
      </c>
      <c r="D299" s="8"/>
    </row>
    <row r="300" spans="1:4" ht="17" x14ac:dyDescent="0.2">
      <c r="A300" s="1" t="s">
        <v>0</v>
      </c>
      <c r="B300" s="2"/>
      <c r="C300" s="6"/>
      <c r="D300" s="7">
        <f>SUM(C299:C299)</f>
        <v>1230000</v>
      </c>
    </row>
    <row r="301" spans="1:4" x14ac:dyDescent="0.2">
      <c r="A301" s="136"/>
      <c r="B301" s="136"/>
      <c r="C301" s="136"/>
      <c r="D301" s="136"/>
    </row>
    <row r="302" spans="1:4" ht="17" x14ac:dyDescent="0.2">
      <c r="A302" s="27" t="s">
        <v>65</v>
      </c>
      <c r="B302" s="28"/>
      <c r="C302" s="6"/>
      <c r="D302" s="7"/>
    </row>
    <row r="303" spans="1:4" ht="54" customHeight="1" x14ac:dyDescent="0.2">
      <c r="A303" s="134" t="s">
        <v>66</v>
      </c>
      <c r="B303" s="134"/>
      <c r="C303" s="134"/>
      <c r="D303" s="134"/>
    </row>
    <row r="304" spans="1:4" ht="17" x14ac:dyDescent="0.2">
      <c r="A304" s="113" t="s">
        <v>63</v>
      </c>
      <c r="B304" s="29" t="s">
        <v>61</v>
      </c>
      <c r="C304" s="6">
        <f>5000*123</f>
        <v>615000</v>
      </c>
      <c r="D304" s="7"/>
    </row>
    <row r="305" spans="1:4" ht="17" x14ac:dyDescent="0.2">
      <c r="A305" s="1" t="s">
        <v>0</v>
      </c>
      <c r="B305" s="2"/>
      <c r="C305" s="30"/>
      <c r="D305" s="31">
        <f>C304</f>
        <v>615000</v>
      </c>
    </row>
    <row r="306" spans="1:4" x14ac:dyDescent="0.2">
      <c r="A306" s="56"/>
      <c r="B306" s="118"/>
      <c r="C306" s="119"/>
      <c r="D306" s="120"/>
    </row>
    <row r="307" spans="1:4" ht="17" x14ac:dyDescent="0.2">
      <c r="A307" s="108" t="s">
        <v>395</v>
      </c>
      <c r="B307" s="108"/>
      <c r="C307" s="30"/>
      <c r="D307" s="35"/>
    </row>
    <row r="308" spans="1:4" ht="45" customHeight="1" x14ac:dyDescent="0.2">
      <c r="A308" s="143" t="s">
        <v>396</v>
      </c>
      <c r="B308" s="143"/>
      <c r="C308" s="143"/>
      <c r="D308" s="144"/>
    </row>
    <row r="309" spans="1:4" ht="17" x14ac:dyDescent="0.2">
      <c r="A309" s="34" t="s">
        <v>394</v>
      </c>
      <c r="B309" s="17" t="s">
        <v>190</v>
      </c>
      <c r="C309" s="30">
        <v>62000</v>
      </c>
      <c r="D309" s="35"/>
    </row>
    <row r="310" spans="1:4" ht="17" x14ac:dyDescent="0.2">
      <c r="A310" s="21" t="s">
        <v>0</v>
      </c>
      <c r="C310" s="8"/>
      <c r="D310" s="7">
        <f>SUM(C309:C309)</f>
        <v>62000</v>
      </c>
    </row>
    <row r="311" spans="1:4" x14ac:dyDescent="0.2">
      <c r="A311" s="42"/>
      <c r="B311" s="43"/>
      <c r="C311" s="116"/>
      <c r="D311" s="45"/>
    </row>
    <row r="312" spans="1:4" ht="17" x14ac:dyDescent="0.2">
      <c r="A312" s="108" t="s">
        <v>367</v>
      </c>
      <c r="B312" s="19"/>
      <c r="C312" s="18"/>
      <c r="D312" s="32"/>
    </row>
    <row r="313" spans="1:4" ht="131" customHeight="1" x14ac:dyDescent="0.2">
      <c r="A313" s="134" t="s">
        <v>403</v>
      </c>
      <c r="B313" s="134"/>
      <c r="C313" s="134"/>
      <c r="D313" s="134"/>
    </row>
    <row r="314" spans="1:4" ht="17" x14ac:dyDescent="0.2">
      <c r="A314" s="17" t="s">
        <v>476</v>
      </c>
      <c r="B314" s="19" t="s">
        <v>561</v>
      </c>
      <c r="C314" s="18">
        <f>SUM(52000*123)</f>
        <v>6396000</v>
      </c>
      <c r="D314" s="32"/>
    </row>
    <row r="315" spans="1:4" ht="17" x14ac:dyDescent="0.2">
      <c r="A315" s="66" t="s">
        <v>0</v>
      </c>
      <c r="B315" s="19"/>
      <c r="C315" s="18"/>
      <c r="D315" s="32">
        <f>SUM(C314:C314)</f>
        <v>6396000</v>
      </c>
    </row>
    <row r="316" spans="1:4" x14ac:dyDescent="0.2">
      <c r="A316" s="135"/>
      <c r="B316" s="135"/>
      <c r="C316" s="135"/>
      <c r="D316" s="135"/>
    </row>
    <row r="317" spans="1:4" ht="17" x14ac:dyDescent="0.2">
      <c r="A317" s="114" t="s">
        <v>99</v>
      </c>
      <c r="C317" s="8"/>
      <c r="D317" s="8"/>
    </row>
    <row r="318" spans="1:4" ht="52" customHeight="1" x14ac:dyDescent="0.2">
      <c r="A318" s="131" t="s">
        <v>315</v>
      </c>
      <c r="B318" s="132"/>
      <c r="C318" s="132"/>
      <c r="D318" s="132"/>
    </row>
    <row r="319" spans="1:4" ht="17" x14ac:dyDescent="0.2">
      <c r="A319" s="111" t="s">
        <v>93</v>
      </c>
      <c r="B319" s="111" t="s">
        <v>96</v>
      </c>
      <c r="C319" s="8">
        <f>SUM(5500*123)</f>
        <v>676500</v>
      </c>
      <c r="D319" s="8"/>
    </row>
    <row r="320" spans="1:4" ht="17" x14ac:dyDescent="0.2">
      <c r="A320" s="111" t="s">
        <v>94</v>
      </c>
      <c r="B320" s="111" t="s">
        <v>96</v>
      </c>
      <c r="C320" s="8">
        <f>SUM(5500*123)</f>
        <v>676500</v>
      </c>
      <c r="D320" s="8"/>
    </row>
    <row r="321" spans="1:4" ht="34" x14ac:dyDescent="0.2">
      <c r="A321" s="111" t="s">
        <v>95</v>
      </c>
      <c r="B321" s="111" t="s">
        <v>97</v>
      </c>
      <c r="C321" s="8">
        <f>SUM(3000*123)</f>
        <v>369000</v>
      </c>
      <c r="D321" s="8"/>
    </row>
    <row r="322" spans="1:4" ht="17" x14ac:dyDescent="0.2">
      <c r="A322" s="111" t="s">
        <v>98</v>
      </c>
      <c r="B322" s="111" t="s">
        <v>290</v>
      </c>
      <c r="C322" s="8">
        <f>SUM(2000*123*2)</f>
        <v>492000</v>
      </c>
      <c r="D322" s="8"/>
    </row>
    <row r="323" spans="1:4" ht="17" x14ac:dyDescent="0.2">
      <c r="A323" s="40" t="s">
        <v>413</v>
      </c>
      <c r="B323" s="19" t="s">
        <v>311</v>
      </c>
      <c r="C323" s="18">
        <f>SUM(4000*123)</f>
        <v>492000</v>
      </c>
      <c r="D323" s="18"/>
    </row>
    <row r="324" spans="1:4" ht="17" x14ac:dyDescent="0.2">
      <c r="A324" s="40" t="s">
        <v>475</v>
      </c>
      <c r="B324" s="19" t="s">
        <v>311</v>
      </c>
      <c r="C324" s="18">
        <f>4000*123</f>
        <v>492000</v>
      </c>
      <c r="D324" s="18"/>
    </row>
    <row r="325" spans="1:4" ht="17" x14ac:dyDescent="0.2">
      <c r="A325" s="40" t="s">
        <v>414</v>
      </c>
      <c r="B325" s="19" t="s">
        <v>415</v>
      </c>
      <c r="C325" s="18">
        <f>2000*123</f>
        <v>246000</v>
      </c>
      <c r="D325" s="18"/>
    </row>
    <row r="326" spans="1:4" ht="17" x14ac:dyDescent="0.2">
      <c r="A326" s="12" t="s">
        <v>0</v>
      </c>
      <c r="C326" s="8"/>
      <c r="D326" s="11">
        <f>SUM(C319:C325)</f>
        <v>3444000</v>
      </c>
    </row>
    <row r="327" spans="1:4" x14ac:dyDescent="0.2">
      <c r="A327" s="110"/>
      <c r="B327" s="110"/>
      <c r="C327" s="57"/>
      <c r="D327" s="57"/>
    </row>
    <row r="328" spans="1:4" ht="17" x14ac:dyDescent="0.2">
      <c r="A328" s="114" t="s">
        <v>536</v>
      </c>
      <c r="C328" s="8"/>
      <c r="D328" s="8"/>
    </row>
    <row r="329" spans="1:4" ht="88" customHeight="1" x14ac:dyDescent="0.2">
      <c r="A329" s="131" t="s">
        <v>537</v>
      </c>
      <c r="B329" s="131"/>
      <c r="C329" s="131"/>
      <c r="D329" s="131"/>
    </row>
    <row r="330" spans="1:4" ht="17" x14ac:dyDescent="0.2">
      <c r="A330" s="5" t="s">
        <v>84</v>
      </c>
      <c r="B330" s="5" t="s">
        <v>308</v>
      </c>
      <c r="C330" s="18">
        <v>762000</v>
      </c>
      <c r="D330" s="8"/>
    </row>
    <row r="331" spans="1:4" ht="17" x14ac:dyDescent="0.2">
      <c r="A331" s="5" t="s">
        <v>538</v>
      </c>
      <c r="B331" s="5" t="s">
        <v>539</v>
      </c>
      <c r="C331" s="18">
        <v>62000</v>
      </c>
      <c r="D331" s="8"/>
    </row>
    <row r="332" spans="1:4" ht="17" x14ac:dyDescent="0.2">
      <c r="A332" s="5" t="s">
        <v>43</v>
      </c>
      <c r="B332" s="5" t="s">
        <v>540</v>
      </c>
      <c r="C332" s="15">
        <f>SUM(140000*2)</f>
        <v>280000</v>
      </c>
      <c r="D332" s="8"/>
    </row>
    <row r="333" spans="1:4" ht="17" x14ac:dyDescent="0.2">
      <c r="A333" s="5" t="s">
        <v>541</v>
      </c>
      <c r="B333" s="5" t="s">
        <v>406</v>
      </c>
      <c r="C333" s="18">
        <v>209000</v>
      </c>
      <c r="D333" s="8"/>
    </row>
    <row r="334" spans="1:4" ht="17" x14ac:dyDescent="0.2">
      <c r="A334" s="5" t="s">
        <v>542</v>
      </c>
      <c r="B334" s="5" t="s">
        <v>543</v>
      </c>
      <c r="C334" s="18">
        <v>160000</v>
      </c>
      <c r="D334" s="8"/>
    </row>
    <row r="335" spans="1:4" ht="17" x14ac:dyDescent="0.2">
      <c r="A335" s="5" t="s">
        <v>12</v>
      </c>
      <c r="B335" s="5" t="s">
        <v>544</v>
      </c>
      <c r="C335" s="15">
        <v>37000</v>
      </c>
      <c r="D335" s="8"/>
    </row>
    <row r="336" spans="1:4" ht="17" x14ac:dyDescent="0.2">
      <c r="A336" s="5" t="s">
        <v>10</v>
      </c>
      <c r="B336" s="5" t="s">
        <v>408</v>
      </c>
      <c r="C336" s="15">
        <v>2000</v>
      </c>
      <c r="D336" s="8"/>
    </row>
    <row r="337" spans="1:4" ht="17" x14ac:dyDescent="0.2">
      <c r="A337" s="5" t="s">
        <v>411</v>
      </c>
      <c r="B337" s="5" t="s">
        <v>412</v>
      </c>
      <c r="C337" s="15">
        <f>500*123</f>
        <v>61500</v>
      </c>
      <c r="D337" s="8"/>
    </row>
    <row r="338" spans="1:4" ht="17" x14ac:dyDescent="0.2">
      <c r="A338" s="5" t="s">
        <v>409</v>
      </c>
      <c r="B338" s="5" t="s">
        <v>410</v>
      </c>
      <c r="C338" s="15">
        <v>12500</v>
      </c>
      <c r="D338" s="8"/>
    </row>
    <row r="339" spans="1:4" ht="17" x14ac:dyDescent="0.2">
      <c r="A339" s="5" t="s">
        <v>89</v>
      </c>
      <c r="B339" s="25">
        <v>127000</v>
      </c>
      <c r="C339" s="15">
        <v>127000</v>
      </c>
      <c r="D339" s="8"/>
    </row>
    <row r="340" spans="1:4" ht="17" x14ac:dyDescent="0.2">
      <c r="A340" s="5" t="s">
        <v>88</v>
      </c>
      <c r="B340" s="25">
        <v>67000</v>
      </c>
      <c r="C340" s="15">
        <v>67000</v>
      </c>
      <c r="D340" s="8"/>
    </row>
    <row r="341" spans="1:4" ht="17" x14ac:dyDescent="0.2">
      <c r="A341" s="21" t="s">
        <v>0</v>
      </c>
      <c r="C341" s="8"/>
      <c r="D341" s="7">
        <f>SUM(C330:C340)</f>
        <v>1780000</v>
      </c>
    </row>
    <row r="342" spans="1:4" x14ac:dyDescent="0.2">
      <c r="A342" s="42"/>
      <c r="B342" s="43"/>
      <c r="C342" s="116"/>
      <c r="D342" s="45"/>
    </row>
    <row r="343" spans="1:4" ht="17" x14ac:dyDescent="0.2">
      <c r="A343" s="114" t="s">
        <v>532</v>
      </c>
      <c r="C343" s="8"/>
      <c r="D343" s="8"/>
    </row>
    <row r="344" spans="1:4" ht="86" customHeight="1" x14ac:dyDescent="0.2">
      <c r="A344" s="131" t="s">
        <v>567</v>
      </c>
      <c r="B344" s="131"/>
      <c r="C344" s="131"/>
      <c r="D344" s="131"/>
    </row>
    <row r="345" spans="1:4" ht="17" x14ac:dyDescent="0.2">
      <c r="A345" s="5" t="s">
        <v>432</v>
      </c>
      <c r="B345" s="5" t="s">
        <v>36</v>
      </c>
      <c r="C345" s="18">
        <f>3000*123</f>
        <v>369000</v>
      </c>
      <c r="D345" s="8"/>
    </row>
    <row r="346" spans="1:4" ht="17" x14ac:dyDescent="0.2">
      <c r="A346" s="5" t="s">
        <v>43</v>
      </c>
      <c r="B346" s="5" t="s">
        <v>405</v>
      </c>
      <c r="C346" s="15">
        <f>SUM(120000*2)</f>
        <v>240000</v>
      </c>
      <c r="D346" s="8"/>
    </row>
    <row r="347" spans="1:4" ht="17" x14ac:dyDescent="0.2">
      <c r="A347" s="5" t="s">
        <v>3</v>
      </c>
      <c r="B347" s="5" t="s">
        <v>406</v>
      </c>
      <c r="C347" s="18">
        <v>209000</v>
      </c>
      <c r="D347" s="8"/>
    </row>
    <row r="348" spans="1:4" ht="17" x14ac:dyDescent="0.2">
      <c r="A348" s="5" t="s">
        <v>12</v>
      </c>
      <c r="B348" s="5" t="s">
        <v>407</v>
      </c>
      <c r="C348" s="15">
        <v>26000</v>
      </c>
      <c r="D348" s="8"/>
    </row>
    <row r="349" spans="1:4" ht="17" x14ac:dyDescent="0.2">
      <c r="A349" s="5" t="s">
        <v>10</v>
      </c>
      <c r="B349" s="5" t="s">
        <v>408</v>
      </c>
      <c r="C349" s="15">
        <v>2000</v>
      </c>
      <c r="D349" s="8"/>
    </row>
    <row r="350" spans="1:4" ht="17" x14ac:dyDescent="0.2">
      <c r="A350" s="5" t="s">
        <v>411</v>
      </c>
      <c r="B350" s="5" t="s">
        <v>412</v>
      </c>
      <c r="C350" s="15">
        <v>62000</v>
      </c>
      <c r="D350" s="8"/>
    </row>
    <row r="351" spans="1:4" ht="17" x14ac:dyDescent="0.2">
      <c r="A351" s="5" t="s">
        <v>533</v>
      </c>
      <c r="B351" s="5" t="s">
        <v>534</v>
      </c>
      <c r="C351" s="15">
        <v>173000</v>
      </c>
      <c r="D351" s="8"/>
    </row>
    <row r="352" spans="1:4" ht="17" x14ac:dyDescent="0.2">
      <c r="A352" s="5" t="s">
        <v>535</v>
      </c>
      <c r="B352" s="25">
        <v>158000</v>
      </c>
      <c r="C352" s="15">
        <v>158000</v>
      </c>
      <c r="D352" s="8"/>
    </row>
    <row r="353" spans="1:11" ht="17" x14ac:dyDescent="0.2">
      <c r="A353" s="5" t="s">
        <v>88</v>
      </c>
      <c r="B353" s="25">
        <v>67000</v>
      </c>
      <c r="C353" s="15">
        <v>67000</v>
      </c>
      <c r="D353" s="8"/>
    </row>
    <row r="354" spans="1:11" ht="17" x14ac:dyDescent="0.2">
      <c r="A354" s="21" t="s">
        <v>0</v>
      </c>
      <c r="C354" s="8"/>
      <c r="D354" s="7">
        <f>SUM(C345:C353)</f>
        <v>1306000</v>
      </c>
    </row>
    <row r="355" spans="1:11" x14ac:dyDescent="0.2">
      <c r="A355" s="133"/>
      <c r="B355" s="133"/>
      <c r="C355" s="133"/>
      <c r="D355" s="133"/>
    </row>
    <row r="356" spans="1:11" ht="15" customHeight="1" x14ac:dyDescent="0.2">
      <c r="A356" s="130" t="s">
        <v>570</v>
      </c>
      <c r="B356" s="130"/>
      <c r="C356" s="8"/>
      <c r="D356" s="8"/>
    </row>
    <row r="357" spans="1:11" ht="60" customHeight="1" x14ac:dyDescent="0.2">
      <c r="A357" s="129" t="s">
        <v>571</v>
      </c>
      <c r="B357" s="129"/>
      <c r="C357" s="129"/>
      <c r="D357" s="129"/>
    </row>
    <row r="358" spans="1:11" ht="17" x14ac:dyDescent="0.2">
      <c r="A358" s="5" t="s">
        <v>572</v>
      </c>
      <c r="B358" s="128" t="s">
        <v>573</v>
      </c>
      <c r="C358" s="6">
        <v>4920000</v>
      </c>
      <c r="D358" s="8"/>
    </row>
    <row r="359" spans="1:11" ht="17" x14ac:dyDescent="0.2">
      <c r="A359" s="21" t="s">
        <v>0</v>
      </c>
      <c r="B359" s="128"/>
      <c r="C359" s="8"/>
      <c r="D359" s="7">
        <v>4920000</v>
      </c>
    </row>
    <row r="360" spans="1:11" x14ac:dyDescent="0.2">
      <c r="A360" s="42"/>
      <c r="B360" s="43"/>
      <c r="C360" s="116"/>
      <c r="D360" s="45"/>
    </row>
    <row r="361" spans="1:11" ht="19" x14ac:dyDescent="0.25">
      <c r="A361" s="111"/>
      <c r="B361" s="37" t="s">
        <v>132</v>
      </c>
      <c r="C361" s="38"/>
      <c r="D361" s="39">
        <f>SUM(D37+D49+D72+D94+D123+D141+D151+D158+D164+D172+D180+D185+D194+D205+D221+D237+D242+D253+D262+D272+D278+D284+D290+D295+D300+D305+D310+D315+D326+D341+D100+D213+D354+D359+D54)</f>
        <v>109832000</v>
      </c>
      <c r="J361" s="124"/>
      <c r="K361" s="33"/>
    </row>
    <row r="362" spans="1:11" x14ac:dyDescent="0.2">
      <c r="A362" s="42"/>
      <c r="B362" s="43"/>
      <c r="C362" s="44"/>
      <c r="D362" s="45"/>
    </row>
    <row r="363" spans="1:11" x14ac:dyDescent="0.2">
      <c r="A363" s="151" t="s">
        <v>292</v>
      </c>
      <c r="B363" s="151"/>
      <c r="C363" s="8"/>
    </row>
    <row r="364" spans="1:11" ht="261" customHeight="1" x14ac:dyDescent="0.2">
      <c r="A364" s="143" t="s">
        <v>416</v>
      </c>
      <c r="B364" s="143"/>
      <c r="C364" s="143"/>
      <c r="D364" s="149"/>
    </row>
    <row r="365" spans="1:11" ht="18" customHeight="1" x14ac:dyDescent="0.2">
      <c r="A365" s="112" t="s">
        <v>197</v>
      </c>
      <c r="B365" s="112"/>
      <c r="C365" s="111"/>
      <c r="D365" s="3"/>
    </row>
    <row r="366" spans="1:11" x14ac:dyDescent="0.2">
      <c r="A366" s="131"/>
      <c r="B366" s="131"/>
      <c r="C366" s="131"/>
      <c r="D366" s="153"/>
    </row>
    <row r="367" spans="1:11" ht="15.75" customHeight="1" x14ac:dyDescent="0.2">
      <c r="A367" s="3" t="s">
        <v>417</v>
      </c>
      <c r="B367" s="5" t="s">
        <v>485</v>
      </c>
      <c r="C367" s="8">
        <f>77750*12</f>
        <v>933000</v>
      </c>
      <c r="D367" s="8"/>
    </row>
    <row r="368" spans="1:11" ht="34" x14ac:dyDescent="0.2">
      <c r="A368" s="5" t="s">
        <v>418</v>
      </c>
      <c r="B368" s="5" t="s">
        <v>486</v>
      </c>
      <c r="C368" s="8">
        <f>33000*12</f>
        <v>396000</v>
      </c>
      <c r="D368" s="8"/>
    </row>
    <row r="369" spans="1:4" ht="17" x14ac:dyDescent="0.2">
      <c r="A369" s="5" t="s">
        <v>201</v>
      </c>
      <c r="B369" s="5" t="s">
        <v>198</v>
      </c>
      <c r="C369" s="8">
        <f>12000*12</f>
        <v>144000</v>
      </c>
      <c r="D369" s="8"/>
    </row>
    <row r="370" spans="1:4" ht="17" x14ac:dyDescent="0.2">
      <c r="A370" s="5" t="s">
        <v>202</v>
      </c>
      <c r="B370" s="5" t="s">
        <v>487</v>
      </c>
      <c r="C370" s="8">
        <f>35500*12</f>
        <v>426000</v>
      </c>
      <c r="D370" s="8"/>
    </row>
    <row r="371" spans="1:4" ht="17" x14ac:dyDescent="0.2">
      <c r="A371" s="5" t="s">
        <v>199</v>
      </c>
      <c r="B371" s="5" t="s">
        <v>200</v>
      </c>
      <c r="C371" s="8">
        <f>20000*12</f>
        <v>240000</v>
      </c>
      <c r="D371" s="8"/>
    </row>
    <row r="372" spans="1:4" x14ac:dyDescent="0.2">
      <c r="A372" s="41" t="s">
        <v>0</v>
      </c>
      <c r="B372" s="3"/>
      <c r="C372" s="3"/>
      <c r="D372" s="7">
        <f>SUM(C367:C371)</f>
        <v>2139000</v>
      </c>
    </row>
    <row r="373" spans="1:4" x14ac:dyDescent="0.2">
      <c r="A373" s="42"/>
      <c r="B373" s="43"/>
      <c r="C373" s="44"/>
      <c r="D373" s="45"/>
    </row>
    <row r="374" spans="1:4" x14ac:dyDescent="0.2">
      <c r="A374" s="112" t="s">
        <v>150</v>
      </c>
      <c r="B374" s="112"/>
      <c r="C374" s="111"/>
      <c r="D374" s="3"/>
    </row>
    <row r="375" spans="1:4" ht="36" customHeight="1" x14ac:dyDescent="0.2">
      <c r="A375" s="131" t="s">
        <v>151</v>
      </c>
      <c r="B375" s="131"/>
      <c r="C375" s="131"/>
      <c r="D375" s="153"/>
    </row>
    <row r="376" spans="1:4" ht="17" x14ac:dyDescent="0.2">
      <c r="A376" s="3" t="s">
        <v>152</v>
      </c>
      <c r="B376" s="5" t="s">
        <v>162</v>
      </c>
      <c r="C376" s="8">
        <v>29500</v>
      </c>
      <c r="D376" s="8"/>
    </row>
    <row r="377" spans="1:4" ht="34.5" customHeight="1" x14ac:dyDescent="0.2">
      <c r="A377" s="5" t="s">
        <v>156</v>
      </c>
      <c r="B377" s="5" t="s">
        <v>419</v>
      </c>
      <c r="C377" s="8">
        <v>157500</v>
      </c>
      <c r="D377" s="8"/>
    </row>
    <row r="378" spans="1:4" ht="17" x14ac:dyDescent="0.2">
      <c r="A378" s="5" t="s">
        <v>153</v>
      </c>
      <c r="B378" s="5" t="s">
        <v>420</v>
      </c>
      <c r="C378" s="8">
        <f>250*123*2*2</f>
        <v>123000</v>
      </c>
      <c r="D378" s="8"/>
    </row>
    <row r="379" spans="1:4" x14ac:dyDescent="0.2">
      <c r="A379" s="41" t="s">
        <v>0</v>
      </c>
      <c r="B379" s="3"/>
      <c r="C379" s="3"/>
      <c r="D379" s="7">
        <f>SUM(C376:C378)</f>
        <v>310000</v>
      </c>
    </row>
    <row r="380" spans="1:4" x14ac:dyDescent="0.2">
      <c r="A380" s="42"/>
      <c r="B380" s="43"/>
      <c r="C380" s="44"/>
      <c r="D380" s="45"/>
    </row>
    <row r="381" spans="1:4" x14ac:dyDescent="0.2">
      <c r="A381" s="112" t="s">
        <v>154</v>
      </c>
      <c r="B381" s="112"/>
      <c r="C381" s="111"/>
      <c r="D381" s="3"/>
    </row>
    <row r="382" spans="1:4" ht="24" customHeight="1" x14ac:dyDescent="0.2">
      <c r="A382" s="131" t="s">
        <v>155</v>
      </c>
      <c r="B382" s="131"/>
      <c r="C382" s="131"/>
      <c r="D382" s="153"/>
    </row>
    <row r="383" spans="1:4" ht="17" x14ac:dyDescent="0.2">
      <c r="A383" s="3" t="s">
        <v>160</v>
      </c>
      <c r="B383" s="5" t="s">
        <v>158</v>
      </c>
      <c r="C383" s="8">
        <v>29500</v>
      </c>
      <c r="D383" s="8"/>
    </row>
    <row r="384" spans="1:4" ht="22.5" customHeight="1" x14ac:dyDescent="0.2">
      <c r="A384" s="5" t="s">
        <v>159</v>
      </c>
      <c r="B384" s="5" t="s">
        <v>161</v>
      </c>
      <c r="C384" s="8">
        <v>128000</v>
      </c>
      <c r="D384" s="8"/>
    </row>
    <row r="385" spans="1:4" ht="17" x14ac:dyDescent="0.2">
      <c r="A385" s="5" t="s">
        <v>157</v>
      </c>
      <c r="B385" s="5" t="s">
        <v>165</v>
      </c>
      <c r="C385" s="8">
        <f>250*123*1*4</f>
        <v>123000</v>
      </c>
      <c r="D385" s="8"/>
    </row>
    <row r="386" spans="1:4" ht="17" x14ac:dyDescent="0.2">
      <c r="A386" s="5" t="s">
        <v>163</v>
      </c>
      <c r="B386" s="5" t="s">
        <v>164</v>
      </c>
      <c r="C386" s="8">
        <v>196500</v>
      </c>
      <c r="D386" s="8"/>
    </row>
    <row r="387" spans="1:4" x14ac:dyDescent="0.2">
      <c r="A387" s="41" t="s">
        <v>0</v>
      </c>
      <c r="B387" s="3"/>
      <c r="C387" s="3"/>
      <c r="D387" s="7">
        <f>SUM(C383:C386)</f>
        <v>477000</v>
      </c>
    </row>
    <row r="388" spans="1:4" x14ac:dyDescent="0.2">
      <c r="A388" s="42"/>
      <c r="B388" s="43"/>
      <c r="C388" s="44"/>
      <c r="D388" s="45"/>
    </row>
    <row r="389" spans="1:4" x14ac:dyDescent="0.2">
      <c r="A389" s="112" t="s">
        <v>173</v>
      </c>
      <c r="D389" s="8"/>
    </row>
    <row r="390" spans="1:4" ht="22" customHeight="1" x14ac:dyDescent="0.2">
      <c r="A390" s="131" t="s">
        <v>166</v>
      </c>
      <c r="B390" s="131"/>
      <c r="C390" s="131"/>
      <c r="D390" s="131"/>
    </row>
    <row r="391" spans="1:4" ht="17" x14ac:dyDescent="0.2">
      <c r="A391" s="46" t="s">
        <v>168</v>
      </c>
      <c r="B391" s="5" t="s">
        <v>167</v>
      </c>
      <c r="C391" s="6">
        <v>29500</v>
      </c>
    </row>
    <row r="392" spans="1:4" ht="17" x14ac:dyDescent="0.2">
      <c r="A392" s="5" t="s">
        <v>203</v>
      </c>
      <c r="B392" s="5" t="s">
        <v>215</v>
      </c>
      <c r="C392" s="8">
        <v>29500</v>
      </c>
    </row>
    <row r="393" spans="1:4" ht="17" x14ac:dyDescent="0.2">
      <c r="A393" s="3" t="s">
        <v>204</v>
      </c>
      <c r="B393" s="5" t="s">
        <v>169</v>
      </c>
      <c r="C393" s="6">
        <v>24500</v>
      </c>
    </row>
    <row r="394" spans="1:4" ht="17" x14ac:dyDescent="0.2">
      <c r="A394" s="3" t="s">
        <v>170</v>
      </c>
      <c r="B394" s="5" t="s">
        <v>171</v>
      </c>
      <c r="C394" s="6">
        <v>344500</v>
      </c>
    </row>
    <row r="395" spans="1:4" ht="17" x14ac:dyDescent="0.2">
      <c r="A395" s="46" t="s">
        <v>172</v>
      </c>
      <c r="B395" s="5" t="s">
        <v>205</v>
      </c>
      <c r="C395" s="6">
        <f>10*4*50*123</f>
        <v>246000</v>
      </c>
    </row>
    <row r="396" spans="1:4" x14ac:dyDescent="0.2">
      <c r="A396" s="41" t="s">
        <v>0</v>
      </c>
      <c r="D396" s="7">
        <f>SUM(C391:C395)</f>
        <v>674000</v>
      </c>
    </row>
    <row r="397" spans="1:4" x14ac:dyDescent="0.2">
      <c r="A397" s="42"/>
      <c r="B397" s="43"/>
      <c r="C397" s="44"/>
      <c r="D397" s="45"/>
    </row>
    <row r="398" spans="1:4" x14ac:dyDescent="0.2">
      <c r="A398" s="112" t="s">
        <v>174</v>
      </c>
      <c r="D398" s="8"/>
    </row>
    <row r="399" spans="1:4" ht="17" customHeight="1" x14ac:dyDescent="0.2">
      <c r="A399" s="131" t="s">
        <v>175</v>
      </c>
      <c r="B399" s="131"/>
      <c r="C399" s="131"/>
      <c r="D399" s="131"/>
    </row>
    <row r="400" spans="1:4" ht="17" x14ac:dyDescent="0.2">
      <c r="A400" s="46" t="s">
        <v>176</v>
      </c>
      <c r="B400" s="5" t="s">
        <v>177</v>
      </c>
      <c r="C400" s="6">
        <v>61000</v>
      </c>
    </row>
    <row r="401" spans="1:4" x14ac:dyDescent="0.2">
      <c r="A401" s="41" t="s">
        <v>0</v>
      </c>
      <c r="D401" s="7">
        <f>SUM(C400:C400)</f>
        <v>61000</v>
      </c>
    </row>
    <row r="402" spans="1:4" x14ac:dyDescent="0.2">
      <c r="A402" s="42"/>
      <c r="B402" s="43"/>
      <c r="C402" s="44"/>
      <c r="D402" s="45"/>
    </row>
    <row r="403" spans="1:4" x14ac:dyDescent="0.2">
      <c r="A403" s="151" t="s">
        <v>421</v>
      </c>
      <c r="B403" s="151"/>
      <c r="C403" s="8"/>
    </row>
    <row r="404" spans="1:4" ht="20" customHeight="1" x14ac:dyDescent="0.2">
      <c r="A404" s="140" t="s">
        <v>422</v>
      </c>
      <c r="B404" s="140"/>
      <c r="C404" s="140"/>
      <c r="D404" s="152"/>
    </row>
    <row r="405" spans="1:4" ht="17" x14ac:dyDescent="0.2">
      <c r="A405" s="5" t="s">
        <v>206</v>
      </c>
      <c r="B405" s="5" t="s">
        <v>423</v>
      </c>
      <c r="C405" s="6">
        <v>258500</v>
      </c>
      <c r="D405" s="13"/>
    </row>
    <row r="406" spans="1:4" ht="47.25" customHeight="1" x14ac:dyDescent="0.2">
      <c r="A406" s="5" t="s">
        <v>424</v>
      </c>
      <c r="B406" s="5" t="s">
        <v>425</v>
      </c>
      <c r="C406" s="6">
        <v>368000</v>
      </c>
      <c r="D406" s="13"/>
    </row>
    <row r="407" spans="1:4" ht="17" x14ac:dyDescent="0.2">
      <c r="A407" s="5" t="s">
        <v>178</v>
      </c>
      <c r="B407" s="5" t="s">
        <v>426</v>
      </c>
      <c r="C407" s="6">
        <v>74000</v>
      </c>
      <c r="D407" s="13"/>
    </row>
    <row r="408" spans="1:4" ht="17" x14ac:dyDescent="0.2">
      <c r="A408" s="5" t="s">
        <v>179</v>
      </c>
      <c r="B408" s="5" t="s">
        <v>427</v>
      </c>
      <c r="C408" s="6">
        <v>221500</v>
      </c>
      <c r="D408" s="13"/>
    </row>
    <row r="409" spans="1:4" ht="17" x14ac:dyDescent="0.2">
      <c r="A409" s="5" t="s">
        <v>149</v>
      </c>
      <c r="B409" s="5" t="s">
        <v>428</v>
      </c>
      <c r="C409" s="6">
        <v>172000</v>
      </c>
      <c r="D409" s="13"/>
    </row>
    <row r="410" spans="1:4" ht="17" x14ac:dyDescent="0.2">
      <c r="A410" s="5" t="s">
        <v>180</v>
      </c>
      <c r="B410" s="5" t="s">
        <v>429</v>
      </c>
      <c r="C410" s="6">
        <v>92000</v>
      </c>
      <c r="D410" s="13"/>
    </row>
    <row r="411" spans="1:4" ht="17" x14ac:dyDescent="0.2">
      <c r="A411" s="14" t="s">
        <v>0</v>
      </c>
      <c r="B411" s="14"/>
      <c r="C411" s="6"/>
      <c r="D411" s="7">
        <f>SUM(C405:C410)</f>
        <v>1186000</v>
      </c>
    </row>
    <row r="412" spans="1:4" x14ac:dyDescent="0.2">
      <c r="A412" s="42"/>
      <c r="B412" s="43"/>
      <c r="C412" s="44"/>
      <c r="D412" s="45"/>
    </row>
    <row r="413" spans="1:4" x14ac:dyDescent="0.2">
      <c r="A413" s="112" t="s">
        <v>184</v>
      </c>
      <c r="B413" s="112"/>
      <c r="C413" s="111"/>
      <c r="D413" s="3"/>
    </row>
    <row r="414" spans="1:4" x14ac:dyDescent="0.2">
      <c r="A414" s="131" t="s">
        <v>181</v>
      </c>
      <c r="B414" s="131"/>
      <c r="C414" s="131"/>
      <c r="D414" s="153"/>
    </row>
    <row r="415" spans="1:4" ht="17" x14ac:dyDescent="0.2">
      <c r="A415" s="3" t="s">
        <v>207</v>
      </c>
      <c r="B415" s="5" t="s">
        <v>208</v>
      </c>
      <c r="C415" s="8">
        <v>20000</v>
      </c>
      <c r="D415" s="8"/>
    </row>
    <row r="416" spans="1:4" ht="17" x14ac:dyDescent="0.2">
      <c r="A416" s="3" t="s">
        <v>209</v>
      </c>
      <c r="B416" s="5" t="s">
        <v>216</v>
      </c>
      <c r="C416" s="8">
        <v>24500</v>
      </c>
      <c r="D416" s="8"/>
    </row>
    <row r="417" spans="1:4" ht="17" x14ac:dyDescent="0.2">
      <c r="A417" s="3" t="s">
        <v>210</v>
      </c>
      <c r="B417" s="5" t="s">
        <v>182</v>
      </c>
      <c r="C417" s="8">
        <v>24500</v>
      </c>
      <c r="D417" s="8"/>
    </row>
    <row r="418" spans="1:4" x14ac:dyDescent="0.2">
      <c r="A418" s="41" t="s">
        <v>0</v>
      </c>
      <c r="B418" s="3"/>
      <c r="C418" s="3"/>
      <c r="D418" s="7">
        <f>SUM(C415:C417)</f>
        <v>69000</v>
      </c>
    </row>
    <row r="419" spans="1:4" x14ac:dyDescent="0.2">
      <c r="A419" s="42"/>
      <c r="B419" s="43"/>
      <c r="C419" s="44"/>
      <c r="D419" s="45"/>
    </row>
    <row r="420" spans="1:4" x14ac:dyDescent="0.2">
      <c r="A420" s="112" t="s">
        <v>183</v>
      </c>
      <c r="D420" s="8"/>
    </row>
    <row r="421" spans="1:4" ht="35" customHeight="1" x14ac:dyDescent="0.2">
      <c r="A421" s="131" t="s">
        <v>430</v>
      </c>
      <c r="B421" s="131"/>
      <c r="C421" s="131"/>
      <c r="D421" s="131"/>
    </row>
    <row r="422" spans="1:4" ht="17" x14ac:dyDescent="0.2">
      <c r="A422" s="3" t="s">
        <v>211</v>
      </c>
      <c r="B422" s="5" t="s">
        <v>212</v>
      </c>
      <c r="C422" s="6">
        <v>52000</v>
      </c>
    </row>
    <row r="423" spans="1:4" ht="17" x14ac:dyDescent="0.2">
      <c r="A423" s="3" t="s">
        <v>213</v>
      </c>
      <c r="B423" s="5" t="s">
        <v>185</v>
      </c>
      <c r="C423" s="8">
        <v>172000</v>
      </c>
    </row>
    <row r="424" spans="1:4" ht="32.25" customHeight="1" x14ac:dyDescent="0.2">
      <c r="A424" s="3" t="s">
        <v>214</v>
      </c>
      <c r="B424" s="5" t="s">
        <v>186</v>
      </c>
      <c r="C424" s="8">
        <v>172000</v>
      </c>
    </row>
    <row r="425" spans="1:4" x14ac:dyDescent="0.2">
      <c r="A425" s="41" t="s">
        <v>0</v>
      </c>
      <c r="D425" s="7">
        <f>SUM(C422:C424)</f>
        <v>396000</v>
      </c>
    </row>
    <row r="426" spans="1:4" x14ac:dyDescent="0.2">
      <c r="A426" s="42"/>
      <c r="B426" s="43"/>
      <c r="C426" s="44"/>
      <c r="D426" s="45"/>
    </row>
    <row r="427" spans="1:4" x14ac:dyDescent="0.2">
      <c r="A427" s="112" t="s">
        <v>188</v>
      </c>
      <c r="D427" s="8"/>
    </row>
    <row r="428" spans="1:4" x14ac:dyDescent="0.2">
      <c r="A428" s="131" t="s">
        <v>187</v>
      </c>
      <c r="B428" s="131"/>
      <c r="C428" s="131"/>
      <c r="D428" s="131"/>
    </row>
    <row r="429" spans="1:4" ht="17" x14ac:dyDescent="0.2">
      <c r="A429" s="46" t="s">
        <v>128</v>
      </c>
      <c r="B429" s="5" t="s">
        <v>479</v>
      </c>
      <c r="C429" s="6">
        <v>19500</v>
      </c>
    </row>
    <row r="430" spans="1:4" ht="17" x14ac:dyDescent="0.2">
      <c r="A430" s="46" t="s">
        <v>189</v>
      </c>
      <c r="B430" s="5" t="s">
        <v>479</v>
      </c>
      <c r="C430" s="6">
        <v>19500</v>
      </c>
    </row>
    <row r="431" spans="1:4" ht="15" customHeight="1" x14ac:dyDescent="0.2">
      <c r="A431" s="3" t="s">
        <v>130</v>
      </c>
      <c r="B431" s="5" t="s">
        <v>480</v>
      </c>
      <c r="C431" s="6">
        <v>34500</v>
      </c>
    </row>
    <row r="432" spans="1:4" ht="17" x14ac:dyDescent="0.2">
      <c r="A432" s="46" t="s">
        <v>191</v>
      </c>
      <c r="B432" s="5" t="s">
        <v>481</v>
      </c>
      <c r="C432" s="6">
        <v>67500</v>
      </c>
    </row>
    <row r="433" spans="1:10" x14ac:dyDescent="0.2">
      <c r="A433" s="41" t="s">
        <v>0</v>
      </c>
      <c r="D433" s="7">
        <f>SUM(C429:C432)</f>
        <v>141000</v>
      </c>
    </row>
    <row r="434" spans="1:10" x14ac:dyDescent="0.2">
      <c r="A434" s="42"/>
      <c r="B434" s="43"/>
      <c r="C434" s="44"/>
      <c r="D434" s="45"/>
    </row>
    <row r="435" spans="1:10" x14ac:dyDescent="0.2">
      <c r="A435" s="151" t="s">
        <v>192</v>
      </c>
      <c r="B435" s="151"/>
      <c r="C435" s="8"/>
    </row>
    <row r="436" spans="1:10" ht="35" customHeight="1" x14ac:dyDescent="0.2">
      <c r="A436" s="140" t="s">
        <v>431</v>
      </c>
      <c r="B436" s="140"/>
      <c r="C436" s="140"/>
      <c r="D436" s="152"/>
    </row>
    <row r="437" spans="1:10" ht="17" x14ac:dyDescent="0.2">
      <c r="A437" s="5" t="s">
        <v>194</v>
      </c>
      <c r="B437" s="5" t="s">
        <v>482</v>
      </c>
      <c r="C437" s="6">
        <v>176000</v>
      </c>
      <c r="D437" s="13"/>
    </row>
    <row r="438" spans="1:10" ht="17" x14ac:dyDescent="0.2">
      <c r="A438" s="5" t="s">
        <v>193</v>
      </c>
      <c r="B438" s="5" t="s">
        <v>477</v>
      </c>
      <c r="C438" s="6">
        <v>128000</v>
      </c>
      <c r="D438" s="13"/>
    </row>
    <row r="439" spans="1:10" ht="39.75" customHeight="1" x14ac:dyDescent="0.2">
      <c r="A439" s="5" t="s">
        <v>195</v>
      </c>
      <c r="B439" s="5" t="s">
        <v>478</v>
      </c>
      <c r="C439" s="6">
        <v>443000</v>
      </c>
      <c r="D439" s="13"/>
    </row>
    <row r="440" spans="1:10" ht="17" x14ac:dyDescent="0.2">
      <c r="A440" s="14" t="s">
        <v>0</v>
      </c>
      <c r="B440" s="14"/>
      <c r="C440" s="6"/>
      <c r="D440" s="7">
        <f>SUM(C437:C439)</f>
        <v>747000</v>
      </c>
    </row>
    <row r="441" spans="1:10" x14ac:dyDescent="0.2">
      <c r="A441" s="42"/>
      <c r="B441" s="43"/>
      <c r="C441" s="44"/>
      <c r="D441" s="45"/>
      <c r="J441" s="33"/>
    </row>
    <row r="442" spans="1:10" ht="17" x14ac:dyDescent="0.2">
      <c r="B442" s="37" t="s">
        <v>196</v>
      </c>
      <c r="C442" s="47"/>
      <c r="D442" s="39">
        <f>SUM(D372+D379+D387+D396+D401+D411+D418+D425+D433+D440)</f>
        <v>6200000</v>
      </c>
    </row>
    <row r="444" spans="1:10" x14ac:dyDescent="0.2">
      <c r="A444" s="151" t="s">
        <v>488</v>
      </c>
      <c r="B444" s="151"/>
      <c r="C444" s="8"/>
    </row>
    <row r="445" spans="1:10" x14ac:dyDescent="0.2">
      <c r="A445" s="140"/>
      <c r="B445" s="140"/>
      <c r="C445" s="140"/>
      <c r="D445" s="152"/>
    </row>
    <row r="446" spans="1:10" x14ac:dyDescent="0.2">
      <c r="A446" s="59" t="s">
        <v>489</v>
      </c>
      <c r="C446" s="6"/>
    </row>
    <row r="447" spans="1:10" x14ac:dyDescent="0.2">
      <c r="A447" s="3" t="s">
        <v>490</v>
      </c>
      <c r="C447" s="6"/>
    </row>
    <row r="448" spans="1:10" ht="17" x14ac:dyDescent="0.2">
      <c r="A448" s="3" t="s">
        <v>297</v>
      </c>
      <c r="B448" s="9" t="s">
        <v>514</v>
      </c>
      <c r="C448" s="6">
        <v>407000</v>
      </c>
    </row>
    <row r="449" spans="1:4" ht="17" x14ac:dyDescent="0.2">
      <c r="A449" s="3" t="s">
        <v>491</v>
      </c>
      <c r="B449" s="111" t="s">
        <v>513</v>
      </c>
      <c r="C449" s="6">
        <v>147000</v>
      </c>
    </row>
    <row r="450" spans="1:4" ht="17" x14ac:dyDescent="0.2">
      <c r="A450" s="3" t="s">
        <v>492</v>
      </c>
      <c r="B450" s="111" t="s">
        <v>514</v>
      </c>
      <c r="C450" s="6">
        <v>407000</v>
      </c>
    </row>
    <row r="451" spans="1:4" ht="17" x14ac:dyDescent="0.2">
      <c r="A451" s="3" t="s">
        <v>493</v>
      </c>
      <c r="B451" s="111" t="s">
        <v>515</v>
      </c>
      <c r="C451" s="6">
        <f>244000</f>
        <v>244000</v>
      </c>
    </row>
    <row r="452" spans="1:4" ht="17" x14ac:dyDescent="0.2">
      <c r="A452" s="3" t="s">
        <v>227</v>
      </c>
      <c r="B452" s="111" t="s">
        <v>516</v>
      </c>
      <c r="C452" s="6">
        <v>142000</v>
      </c>
    </row>
    <row r="453" spans="1:4" ht="17" x14ac:dyDescent="0.2">
      <c r="A453" s="3" t="s">
        <v>129</v>
      </c>
      <c r="B453" s="111" t="s">
        <v>517</v>
      </c>
      <c r="C453" s="15">
        <v>528000</v>
      </c>
    </row>
    <row r="454" spans="1:4" ht="17" x14ac:dyDescent="0.2">
      <c r="A454" s="14" t="s">
        <v>0</v>
      </c>
      <c r="B454" s="14"/>
      <c r="C454" s="6"/>
      <c r="D454" s="7">
        <f>SUM(C448:C453)</f>
        <v>1875000</v>
      </c>
    </row>
    <row r="455" spans="1:4" x14ac:dyDescent="0.2">
      <c r="A455" s="42"/>
      <c r="B455" s="43"/>
      <c r="C455" s="44"/>
      <c r="D455" s="45"/>
    </row>
    <row r="456" spans="1:4" x14ac:dyDescent="0.2">
      <c r="A456" s="59" t="s">
        <v>494</v>
      </c>
      <c r="C456" s="6"/>
    </row>
    <row r="457" spans="1:4" x14ac:dyDescent="0.2">
      <c r="A457" s="3" t="s">
        <v>495</v>
      </c>
      <c r="C457" s="6"/>
    </row>
    <row r="458" spans="1:4" ht="17" x14ac:dyDescent="0.2">
      <c r="A458" s="3" t="s">
        <v>496</v>
      </c>
      <c r="B458" s="5" t="s">
        <v>514</v>
      </c>
      <c r="C458" s="6">
        <v>407000</v>
      </c>
    </row>
    <row r="459" spans="1:4" ht="17" x14ac:dyDescent="0.2">
      <c r="A459" s="3" t="s">
        <v>229</v>
      </c>
      <c r="B459" s="5" t="s">
        <v>518</v>
      </c>
      <c r="C459" s="6">
        <v>99000</v>
      </c>
    </row>
    <row r="460" spans="1:4" ht="17" x14ac:dyDescent="0.2">
      <c r="A460" s="3" t="s">
        <v>492</v>
      </c>
      <c r="B460" s="5" t="s">
        <v>515</v>
      </c>
      <c r="C460" s="6">
        <v>244000</v>
      </c>
    </row>
    <row r="461" spans="1:4" ht="17" x14ac:dyDescent="0.2">
      <c r="A461" s="3" t="s">
        <v>497</v>
      </c>
      <c r="B461" s="5" t="s">
        <v>352</v>
      </c>
      <c r="C461" s="6">
        <v>177000</v>
      </c>
    </row>
    <row r="462" spans="1:4" ht="17" x14ac:dyDescent="0.2">
      <c r="A462" s="3" t="s">
        <v>227</v>
      </c>
      <c r="B462" s="5" t="s">
        <v>519</v>
      </c>
      <c r="C462" s="6">
        <v>106000</v>
      </c>
    </row>
    <row r="463" spans="1:4" ht="17" x14ac:dyDescent="0.2">
      <c r="A463" s="3" t="s">
        <v>129</v>
      </c>
      <c r="B463" s="5" t="s">
        <v>520</v>
      </c>
      <c r="C463" s="15">
        <v>330000</v>
      </c>
    </row>
    <row r="464" spans="1:4" ht="17" x14ac:dyDescent="0.2">
      <c r="A464" s="14" t="s">
        <v>0</v>
      </c>
      <c r="B464" s="14"/>
      <c r="C464" s="6"/>
      <c r="D464" s="7">
        <f>SUM(C458:C463)</f>
        <v>1363000</v>
      </c>
    </row>
    <row r="465" spans="1:4" x14ac:dyDescent="0.2">
      <c r="A465" s="42"/>
      <c r="B465" s="43"/>
      <c r="C465" s="44"/>
      <c r="D465" s="45"/>
    </row>
    <row r="466" spans="1:4" x14ac:dyDescent="0.2">
      <c r="A466" s="59" t="s">
        <v>498</v>
      </c>
      <c r="C466" s="6"/>
    </row>
    <row r="467" spans="1:4" x14ac:dyDescent="0.2">
      <c r="A467" s="59" t="s">
        <v>499</v>
      </c>
      <c r="C467" s="6"/>
    </row>
    <row r="468" spans="1:4" ht="17" x14ac:dyDescent="0.2">
      <c r="A468" s="3" t="s">
        <v>297</v>
      </c>
      <c r="B468" s="111" t="s">
        <v>351</v>
      </c>
      <c r="C468" s="6">
        <v>123000</v>
      </c>
    </row>
    <row r="469" spans="1:4" ht="17" x14ac:dyDescent="0.2">
      <c r="A469" s="3" t="s">
        <v>128</v>
      </c>
      <c r="B469" s="111" t="s">
        <v>521</v>
      </c>
      <c r="C469" s="6">
        <v>318500</v>
      </c>
    </row>
    <row r="470" spans="1:4" ht="17" x14ac:dyDescent="0.2">
      <c r="A470" s="3" t="s">
        <v>229</v>
      </c>
      <c r="B470" s="111" t="s">
        <v>522</v>
      </c>
      <c r="C470" s="6">
        <v>82000</v>
      </c>
    </row>
    <row r="471" spans="1:4" ht="17" x14ac:dyDescent="0.2">
      <c r="A471" s="3" t="s">
        <v>493</v>
      </c>
      <c r="B471" s="111" t="s">
        <v>525</v>
      </c>
      <c r="C471" s="6">
        <v>163000</v>
      </c>
    </row>
    <row r="472" spans="1:4" ht="17" x14ac:dyDescent="0.2">
      <c r="A472" s="3" t="s">
        <v>492</v>
      </c>
      <c r="B472" s="5" t="s">
        <v>515</v>
      </c>
      <c r="C472" s="6">
        <v>244000</v>
      </c>
    </row>
    <row r="473" spans="1:4" ht="17" x14ac:dyDescent="0.2">
      <c r="A473" s="3" t="s">
        <v>227</v>
      </c>
      <c r="B473" s="5" t="s">
        <v>523</v>
      </c>
      <c r="C473" s="6">
        <v>80000</v>
      </c>
    </row>
    <row r="474" spans="1:4" ht="17" x14ac:dyDescent="0.2">
      <c r="A474" s="3" t="s">
        <v>129</v>
      </c>
      <c r="B474" s="5" t="s">
        <v>524</v>
      </c>
      <c r="C474" s="6">
        <v>264000</v>
      </c>
    </row>
    <row r="475" spans="1:4" ht="17" x14ac:dyDescent="0.2">
      <c r="A475" s="14" t="s">
        <v>0</v>
      </c>
      <c r="B475" s="14"/>
      <c r="C475" s="6"/>
      <c r="D475" s="7">
        <f>SUM(C468:C474)</f>
        <v>1274500</v>
      </c>
    </row>
    <row r="476" spans="1:4" x14ac:dyDescent="0.2">
      <c r="A476" s="42"/>
      <c r="B476" s="43"/>
      <c r="C476" s="44"/>
      <c r="D476" s="45"/>
    </row>
    <row r="477" spans="1:4" x14ac:dyDescent="0.2">
      <c r="A477" s="59" t="s">
        <v>500</v>
      </c>
      <c r="C477" s="6"/>
    </row>
    <row r="478" spans="1:4" ht="17" x14ac:dyDescent="0.2">
      <c r="A478" s="3" t="s">
        <v>226</v>
      </c>
      <c r="B478" s="5" t="s">
        <v>520</v>
      </c>
      <c r="C478" s="6">
        <v>325000</v>
      </c>
    </row>
    <row r="479" spans="1:4" ht="17" x14ac:dyDescent="0.2">
      <c r="A479" s="3" t="s">
        <v>228</v>
      </c>
      <c r="B479" s="5" t="s">
        <v>527</v>
      </c>
      <c r="C479" s="6">
        <v>65000</v>
      </c>
    </row>
    <row r="480" spans="1:4" ht="17" x14ac:dyDescent="0.2">
      <c r="A480" s="3" t="s">
        <v>492</v>
      </c>
      <c r="B480" s="5" t="s">
        <v>515</v>
      </c>
      <c r="C480" s="6">
        <v>244000</v>
      </c>
    </row>
    <row r="481" spans="1:4" ht="17" x14ac:dyDescent="0.2">
      <c r="A481" s="3" t="s">
        <v>129</v>
      </c>
      <c r="B481" s="5" t="s">
        <v>525</v>
      </c>
      <c r="C481" s="15">
        <v>158000</v>
      </c>
    </row>
    <row r="482" spans="1:4" ht="17" x14ac:dyDescent="0.2">
      <c r="A482" s="14" t="s">
        <v>0</v>
      </c>
      <c r="B482" s="14"/>
      <c r="C482" s="6"/>
      <c r="D482" s="7">
        <f>SUM(C478:C481)</f>
        <v>792000</v>
      </c>
    </row>
    <row r="483" spans="1:4" x14ac:dyDescent="0.2">
      <c r="A483" s="42"/>
      <c r="B483" s="43"/>
      <c r="C483" s="44"/>
      <c r="D483" s="45"/>
    </row>
    <row r="484" spans="1:4" ht="23" customHeight="1" x14ac:dyDescent="0.2">
      <c r="A484" s="67" t="s">
        <v>501</v>
      </c>
      <c r="C484" s="6"/>
    </row>
    <row r="485" spans="1:4" ht="17" x14ac:dyDescent="0.2">
      <c r="A485" s="3" t="s">
        <v>226</v>
      </c>
      <c r="B485" s="5" t="s">
        <v>520</v>
      </c>
      <c r="C485" s="6">
        <v>325000</v>
      </c>
    </row>
    <row r="486" spans="1:4" ht="17" x14ac:dyDescent="0.2">
      <c r="A486" s="3" t="s">
        <v>228</v>
      </c>
      <c r="B486" s="5" t="s">
        <v>518</v>
      </c>
      <c r="C486" s="6">
        <v>98000</v>
      </c>
    </row>
    <row r="487" spans="1:4" ht="17" x14ac:dyDescent="0.2">
      <c r="A487" s="3" t="s">
        <v>502</v>
      </c>
      <c r="B487" s="5" t="s">
        <v>515</v>
      </c>
      <c r="C487" s="6">
        <v>244000</v>
      </c>
    </row>
    <row r="488" spans="1:4" ht="17" x14ac:dyDescent="0.2">
      <c r="A488" s="3" t="s">
        <v>227</v>
      </c>
      <c r="B488" s="5" t="s">
        <v>528</v>
      </c>
      <c r="C488" s="6">
        <v>71000</v>
      </c>
    </row>
    <row r="489" spans="1:4" ht="17" x14ac:dyDescent="0.2">
      <c r="A489" s="3" t="s">
        <v>129</v>
      </c>
      <c r="B489" s="5" t="s">
        <v>524</v>
      </c>
      <c r="C489" s="15">
        <v>264000</v>
      </c>
    </row>
    <row r="490" spans="1:4" ht="17" x14ac:dyDescent="0.2">
      <c r="A490" s="14" t="s">
        <v>0</v>
      </c>
      <c r="B490" s="14"/>
      <c r="C490" s="6"/>
      <c r="D490" s="7">
        <f>SUM(C485:C489)</f>
        <v>1002000</v>
      </c>
    </row>
    <row r="491" spans="1:4" x14ac:dyDescent="0.2">
      <c r="A491" s="68"/>
      <c r="B491" s="69"/>
      <c r="C491" s="70"/>
      <c r="D491" s="71"/>
    </row>
    <row r="492" spans="1:4" x14ac:dyDescent="0.2">
      <c r="A492" s="59" t="s">
        <v>503</v>
      </c>
      <c r="C492" s="6"/>
    </row>
    <row r="493" spans="1:4" ht="17" x14ac:dyDescent="0.2">
      <c r="A493" s="3" t="s">
        <v>230</v>
      </c>
      <c r="B493" s="111" t="s">
        <v>526</v>
      </c>
      <c r="C493" s="6">
        <v>45000</v>
      </c>
    </row>
    <row r="494" spans="1:4" ht="17" x14ac:dyDescent="0.2">
      <c r="A494" s="3" t="s">
        <v>231</v>
      </c>
      <c r="B494" s="5" t="s">
        <v>529</v>
      </c>
      <c r="C494" s="6">
        <v>221500</v>
      </c>
    </row>
    <row r="495" spans="1:4" ht="17" x14ac:dyDescent="0.2">
      <c r="A495" s="3" t="s">
        <v>504</v>
      </c>
      <c r="B495" s="5" t="s">
        <v>351</v>
      </c>
      <c r="C495" s="6">
        <v>123000</v>
      </c>
    </row>
    <row r="496" spans="1:4" ht="17" x14ac:dyDescent="0.2">
      <c r="A496" s="3" t="s">
        <v>505</v>
      </c>
      <c r="B496" s="5" t="s">
        <v>530</v>
      </c>
      <c r="C496" s="6">
        <v>59000</v>
      </c>
    </row>
    <row r="497" spans="1:4" ht="17" x14ac:dyDescent="0.2">
      <c r="A497" s="14" t="s">
        <v>0</v>
      </c>
      <c r="B497" s="14"/>
      <c r="C497" s="6"/>
      <c r="D497" s="7">
        <f>SUM(C493:C496)</f>
        <v>448500</v>
      </c>
    </row>
    <row r="498" spans="1:4" x14ac:dyDescent="0.2">
      <c r="A498" s="154"/>
      <c r="B498" s="154"/>
      <c r="C498" s="154"/>
      <c r="D498" s="154"/>
    </row>
    <row r="499" spans="1:4" x14ac:dyDescent="0.2">
      <c r="A499" s="59" t="s">
        <v>506</v>
      </c>
      <c r="C499" s="6"/>
    </row>
    <row r="500" spans="1:4" x14ac:dyDescent="0.2">
      <c r="A500" s="3" t="s">
        <v>507</v>
      </c>
      <c r="C500" s="6"/>
    </row>
    <row r="501" spans="1:4" ht="17" x14ac:dyDescent="0.2">
      <c r="A501" s="3" t="s">
        <v>509</v>
      </c>
      <c r="B501" s="5" t="s">
        <v>510</v>
      </c>
      <c r="C501" s="6">
        <f>150*10*123</f>
        <v>184500</v>
      </c>
    </row>
    <row r="502" spans="1:4" ht="17" x14ac:dyDescent="0.2">
      <c r="A502" s="3" t="s">
        <v>508</v>
      </c>
      <c r="B502" s="5" t="s">
        <v>511</v>
      </c>
      <c r="C502" s="6">
        <v>184500</v>
      </c>
    </row>
    <row r="503" spans="1:4" ht="17" x14ac:dyDescent="0.2">
      <c r="A503" s="3" t="s">
        <v>3</v>
      </c>
      <c r="B503" s="5" t="s">
        <v>512</v>
      </c>
      <c r="C503" s="6">
        <v>197000</v>
      </c>
    </row>
    <row r="504" spans="1:4" ht="17" x14ac:dyDescent="0.2">
      <c r="A504" s="14" t="s">
        <v>0</v>
      </c>
      <c r="B504" s="14"/>
      <c r="C504" s="6"/>
      <c r="D504" s="7">
        <f>SUM(C501:C503)</f>
        <v>566000</v>
      </c>
    </row>
    <row r="505" spans="1:4" x14ac:dyDescent="0.2">
      <c r="A505" s="42"/>
      <c r="B505" s="43"/>
      <c r="C505" s="44"/>
      <c r="D505" s="45"/>
    </row>
    <row r="506" spans="1:4" ht="17" x14ac:dyDescent="0.2">
      <c r="B506" s="37" t="s">
        <v>232</v>
      </c>
      <c r="C506" s="47"/>
      <c r="D506" s="39">
        <f>D454+D464+D475+D482+D490+D497+D504</f>
        <v>7321000</v>
      </c>
    </row>
    <row r="507" spans="1:4" ht="18" x14ac:dyDescent="0.2">
      <c r="B507" s="72" t="s">
        <v>291</v>
      </c>
      <c r="C507" s="73"/>
      <c r="D507" s="73">
        <f>D30+D361+D442+D506</f>
        <v>1055739000</v>
      </c>
    </row>
    <row r="508" spans="1:4" ht="21" customHeight="1" x14ac:dyDescent="0.2">
      <c r="A508" s="59" t="s">
        <v>233</v>
      </c>
      <c r="C508" s="3"/>
      <c r="D508" s="3"/>
    </row>
    <row r="509" spans="1:4" ht="34" x14ac:dyDescent="0.2">
      <c r="A509" s="74" t="s">
        <v>234</v>
      </c>
      <c r="B509" s="75" t="s">
        <v>235</v>
      </c>
      <c r="C509" s="3"/>
      <c r="D509" s="75" t="s">
        <v>236</v>
      </c>
    </row>
    <row r="510" spans="1:4" x14ac:dyDescent="0.2">
      <c r="A510" s="76"/>
      <c r="B510" s="76"/>
      <c r="C510" s="77"/>
      <c r="D510" s="3"/>
    </row>
    <row r="511" spans="1:4" ht="17" x14ac:dyDescent="0.2">
      <c r="A511" s="78" t="s">
        <v>237</v>
      </c>
      <c r="B511" s="79"/>
      <c r="C511" s="79"/>
      <c r="D511" s="3"/>
    </row>
    <row r="512" spans="1:4" ht="17" x14ac:dyDescent="0.2">
      <c r="A512" s="80" t="s">
        <v>238</v>
      </c>
      <c r="B512" s="81">
        <v>10500000</v>
      </c>
      <c r="C512" s="81"/>
    </row>
    <row r="513" spans="1:3" ht="17" x14ac:dyDescent="0.2">
      <c r="A513" s="78" t="s">
        <v>239</v>
      </c>
      <c r="B513" s="82"/>
      <c r="C513" s="82"/>
    </row>
    <row r="514" spans="1:3" ht="17" x14ac:dyDescent="0.2">
      <c r="A514" s="83" t="s">
        <v>240</v>
      </c>
      <c r="B514" s="81">
        <v>1260000</v>
      </c>
      <c r="C514" s="81"/>
    </row>
    <row r="515" spans="1:3" ht="17" x14ac:dyDescent="0.2">
      <c r="A515" s="83" t="s">
        <v>241</v>
      </c>
      <c r="B515" s="81">
        <v>540000</v>
      </c>
      <c r="C515" s="81"/>
    </row>
    <row r="516" spans="1:3" x14ac:dyDescent="0.2">
      <c r="A516" s="85" t="s">
        <v>242</v>
      </c>
      <c r="B516" s="81"/>
      <c r="C516" s="81"/>
    </row>
    <row r="517" spans="1:3" x14ac:dyDescent="0.2">
      <c r="A517" s="84" t="s">
        <v>317</v>
      </c>
      <c r="B517" s="81">
        <v>1000</v>
      </c>
      <c r="C517" s="81"/>
    </row>
    <row r="518" spans="1:3" x14ac:dyDescent="0.2">
      <c r="A518" s="84" t="s">
        <v>574</v>
      </c>
      <c r="B518" s="81">
        <v>500000</v>
      </c>
      <c r="C518" s="81"/>
    </row>
    <row r="519" spans="1:3" ht="17" x14ac:dyDescent="0.2">
      <c r="A519" s="78" t="s">
        <v>243</v>
      </c>
      <c r="B519" s="86"/>
      <c r="C519" s="86"/>
    </row>
    <row r="520" spans="1:3" ht="17" x14ac:dyDescent="0.2">
      <c r="A520" s="83" t="s">
        <v>243</v>
      </c>
      <c r="B520" s="81">
        <v>500000</v>
      </c>
      <c r="C520" s="81"/>
    </row>
    <row r="521" spans="1:3" ht="17" x14ac:dyDescent="0.2">
      <c r="A521" s="78" t="s">
        <v>244</v>
      </c>
      <c r="B521" s="86"/>
      <c r="C521" s="86"/>
    </row>
    <row r="522" spans="1:3" ht="17" x14ac:dyDescent="0.2">
      <c r="A522" s="83" t="s">
        <v>245</v>
      </c>
      <c r="B522" s="81">
        <v>400000</v>
      </c>
      <c r="C522" s="81"/>
    </row>
    <row r="523" spans="1:3" ht="17" x14ac:dyDescent="0.2">
      <c r="A523" s="78" t="s">
        <v>246</v>
      </c>
      <c r="B523" s="86"/>
      <c r="C523" s="86"/>
    </row>
    <row r="524" spans="1:3" ht="17" x14ac:dyDescent="0.2">
      <c r="A524" s="83" t="s">
        <v>247</v>
      </c>
      <c r="B524" s="81">
        <v>300000</v>
      </c>
      <c r="C524" s="81"/>
    </row>
    <row r="525" spans="1:3" x14ac:dyDescent="0.2">
      <c r="A525" s="84" t="s">
        <v>248</v>
      </c>
      <c r="B525" s="81">
        <v>800000</v>
      </c>
      <c r="C525" s="81"/>
    </row>
    <row r="526" spans="1:3" x14ac:dyDescent="0.2">
      <c r="A526" s="84" t="s">
        <v>249</v>
      </c>
      <c r="B526" s="81">
        <v>200000</v>
      </c>
      <c r="C526" s="81"/>
    </row>
    <row r="527" spans="1:3" x14ac:dyDescent="0.2">
      <c r="A527" s="84" t="s">
        <v>250</v>
      </c>
      <c r="B527" s="81">
        <v>600000</v>
      </c>
      <c r="C527" s="81"/>
    </row>
    <row r="528" spans="1:3" x14ac:dyDescent="0.2">
      <c r="A528" s="84" t="s">
        <v>251</v>
      </c>
      <c r="B528" s="81">
        <v>150000</v>
      </c>
      <c r="C528" s="81"/>
    </row>
    <row r="529" spans="1:3" x14ac:dyDescent="0.2">
      <c r="A529" s="84" t="s">
        <v>252</v>
      </c>
      <c r="B529" s="81">
        <v>3300000</v>
      </c>
      <c r="C529" s="81"/>
    </row>
    <row r="530" spans="1:3" x14ac:dyDescent="0.2">
      <c r="A530" s="84" t="s">
        <v>253</v>
      </c>
      <c r="B530" s="81">
        <v>600000</v>
      </c>
      <c r="C530" s="81"/>
    </row>
    <row r="531" spans="1:3" ht="17" x14ac:dyDescent="0.2">
      <c r="A531" s="78" t="s">
        <v>254</v>
      </c>
      <c r="B531" s="86"/>
      <c r="C531" s="86"/>
    </row>
    <row r="532" spans="1:3" ht="17" x14ac:dyDescent="0.2">
      <c r="A532" s="83" t="s">
        <v>255</v>
      </c>
      <c r="B532" s="81">
        <v>700000</v>
      </c>
      <c r="C532" s="81"/>
    </row>
    <row r="533" spans="1:3" ht="17" x14ac:dyDescent="0.2">
      <c r="A533" s="83" t="s">
        <v>256</v>
      </c>
      <c r="B533" s="81">
        <v>1200000</v>
      </c>
      <c r="C533" s="81"/>
    </row>
    <row r="534" spans="1:3" ht="17" x14ac:dyDescent="0.2">
      <c r="A534" s="83" t="s">
        <v>257</v>
      </c>
      <c r="B534" s="81">
        <v>300000</v>
      </c>
      <c r="C534" s="81"/>
    </row>
    <row r="535" spans="1:3" ht="17" x14ac:dyDescent="0.2">
      <c r="A535" s="83" t="s">
        <v>258</v>
      </c>
      <c r="B535" s="81">
        <v>200000</v>
      </c>
      <c r="C535" s="81"/>
    </row>
    <row r="536" spans="1:3" ht="17" x14ac:dyDescent="0.2">
      <c r="A536" s="78" t="s">
        <v>259</v>
      </c>
      <c r="B536" s="86"/>
      <c r="C536" s="86"/>
    </row>
    <row r="537" spans="1:3" x14ac:dyDescent="0.2">
      <c r="A537" s="84" t="s">
        <v>260</v>
      </c>
      <c r="B537" s="81">
        <v>1200000</v>
      </c>
      <c r="C537" s="81"/>
    </row>
    <row r="538" spans="1:3" x14ac:dyDescent="0.2">
      <c r="A538" s="84" t="s">
        <v>261</v>
      </c>
      <c r="B538" s="81">
        <v>1200000</v>
      </c>
      <c r="C538" s="81"/>
    </row>
    <row r="539" spans="1:3" ht="17" x14ac:dyDescent="0.2">
      <c r="A539" s="83" t="s">
        <v>262</v>
      </c>
      <c r="B539" s="81">
        <v>700000</v>
      </c>
      <c r="C539" s="81"/>
    </row>
    <row r="540" spans="1:3" x14ac:dyDescent="0.2">
      <c r="A540" s="84" t="s">
        <v>263</v>
      </c>
      <c r="B540" s="81">
        <v>1000000</v>
      </c>
      <c r="C540" s="81"/>
    </row>
    <row r="541" spans="1:3" x14ac:dyDescent="0.2">
      <c r="A541" s="84" t="s">
        <v>264</v>
      </c>
      <c r="B541" s="81">
        <v>15000000</v>
      </c>
      <c r="C541" s="81"/>
    </row>
    <row r="542" spans="1:3" x14ac:dyDescent="0.2">
      <c r="A542" s="84" t="s">
        <v>265</v>
      </c>
      <c r="B542" s="81">
        <v>1200000</v>
      </c>
      <c r="C542" s="81"/>
    </row>
    <row r="543" spans="1:3" x14ac:dyDescent="0.2">
      <c r="A543" s="84" t="s">
        <v>266</v>
      </c>
      <c r="B543" s="81">
        <v>4000000</v>
      </c>
      <c r="C543" s="81"/>
    </row>
    <row r="544" spans="1:3" ht="17" x14ac:dyDescent="0.2">
      <c r="A544" s="78" t="s">
        <v>267</v>
      </c>
      <c r="B544" s="86"/>
      <c r="C544" s="86"/>
    </row>
    <row r="545" spans="1:4" ht="17" x14ac:dyDescent="0.2">
      <c r="A545" s="83" t="s">
        <v>268</v>
      </c>
      <c r="B545" s="81">
        <v>0</v>
      </c>
      <c r="C545" s="81"/>
      <c r="D545" s="64"/>
    </row>
    <row r="546" spans="1:4" ht="17" x14ac:dyDescent="0.2">
      <c r="A546" s="78" t="s">
        <v>269</v>
      </c>
      <c r="B546" s="86"/>
      <c r="C546" s="86"/>
    </row>
    <row r="547" spans="1:4" ht="17" x14ac:dyDescent="0.2">
      <c r="A547" s="83" t="s">
        <v>270</v>
      </c>
      <c r="B547" s="81">
        <v>250000</v>
      </c>
      <c r="C547" s="81"/>
    </row>
    <row r="548" spans="1:4" ht="17" x14ac:dyDescent="0.2">
      <c r="A548" s="83" t="s">
        <v>271</v>
      </c>
      <c r="B548" s="81">
        <v>350000</v>
      </c>
      <c r="C548" s="81"/>
    </row>
    <row r="549" spans="1:4" ht="17" x14ac:dyDescent="0.2">
      <c r="A549" s="78" t="s">
        <v>272</v>
      </c>
      <c r="B549" s="86"/>
      <c r="C549" s="86"/>
    </row>
    <row r="550" spans="1:4" x14ac:dyDescent="0.2">
      <c r="A550" s="84" t="s">
        <v>273</v>
      </c>
      <c r="B550" s="81">
        <v>600000</v>
      </c>
      <c r="C550" s="81"/>
    </row>
    <row r="551" spans="1:4" ht="17" x14ac:dyDescent="0.2">
      <c r="A551" s="83" t="s">
        <v>274</v>
      </c>
      <c r="B551" s="81">
        <v>400000</v>
      </c>
      <c r="C551" s="81"/>
    </row>
    <row r="552" spans="1:4" ht="17" x14ac:dyDescent="0.2">
      <c r="A552" s="83" t="s">
        <v>275</v>
      </c>
      <c r="B552" s="81">
        <v>200000</v>
      </c>
      <c r="C552" s="81"/>
    </row>
    <row r="553" spans="1:4" ht="17" x14ac:dyDescent="0.2">
      <c r="A553" s="83" t="s">
        <v>276</v>
      </c>
      <c r="B553" s="81">
        <v>500000</v>
      </c>
      <c r="C553" s="81"/>
    </row>
    <row r="554" spans="1:4" ht="17" x14ac:dyDescent="0.2">
      <c r="A554" s="87" t="s">
        <v>277</v>
      </c>
      <c r="B554" s="81"/>
      <c r="C554" s="81"/>
    </row>
    <row r="555" spans="1:4" ht="17" x14ac:dyDescent="0.2">
      <c r="A555" s="83" t="s">
        <v>278</v>
      </c>
      <c r="B555" s="81">
        <v>150000</v>
      </c>
      <c r="C555" s="81"/>
    </row>
    <row r="556" spans="1:4" ht="17" x14ac:dyDescent="0.2">
      <c r="A556" s="87" t="s">
        <v>279</v>
      </c>
      <c r="B556" s="81"/>
      <c r="C556" s="81"/>
    </row>
    <row r="557" spans="1:4" ht="17" x14ac:dyDescent="0.2">
      <c r="A557" s="83" t="s">
        <v>280</v>
      </c>
      <c r="B557" s="81"/>
      <c r="C557" s="81"/>
      <c r="D557" s="33">
        <v>500000</v>
      </c>
    </row>
    <row r="558" spans="1:4" x14ac:dyDescent="0.2">
      <c r="A558" s="88"/>
      <c r="B558" s="89"/>
      <c r="C558" s="89"/>
      <c r="D558" s="90"/>
    </row>
    <row r="559" spans="1:4" ht="17" x14ac:dyDescent="0.2">
      <c r="A559" s="91" t="s">
        <v>288</v>
      </c>
      <c r="B559" s="92">
        <f>SUM(B512:B556)</f>
        <v>48801000</v>
      </c>
      <c r="C559" s="92"/>
      <c r="D559" s="92">
        <f>SUM(D512:D558)</f>
        <v>500000</v>
      </c>
    </row>
    <row r="560" spans="1:4" ht="17" x14ac:dyDescent="0.2">
      <c r="A560" s="91"/>
      <c r="B560" s="92"/>
      <c r="C560" s="92"/>
      <c r="D560" s="92"/>
    </row>
    <row r="561" spans="1:4" x14ac:dyDescent="0.2">
      <c r="A561" s="93" t="s">
        <v>289</v>
      </c>
      <c r="B561" s="94"/>
      <c r="C561" s="95"/>
    </row>
    <row r="562" spans="1:4" x14ac:dyDescent="0.2">
      <c r="A562" s="96"/>
      <c r="B562" s="94"/>
      <c r="C562" s="95"/>
    </row>
    <row r="563" spans="1:4" x14ac:dyDescent="0.2">
      <c r="A563" s="97" t="s">
        <v>281</v>
      </c>
      <c r="B563" s="98">
        <f>D30</f>
        <v>932386000</v>
      </c>
      <c r="C563" s="99"/>
    </row>
    <row r="564" spans="1:4" x14ac:dyDescent="0.2">
      <c r="A564" s="97" t="s">
        <v>286</v>
      </c>
      <c r="B564" s="98">
        <f>D361</f>
        <v>109832000</v>
      </c>
      <c r="C564" s="99"/>
    </row>
    <row r="565" spans="1:4" x14ac:dyDescent="0.2">
      <c r="A565" s="97" t="s">
        <v>293</v>
      </c>
      <c r="B565" s="98">
        <f>D442</f>
        <v>6200000</v>
      </c>
      <c r="C565" s="99"/>
    </row>
    <row r="566" spans="1:4" x14ac:dyDescent="0.2">
      <c r="A566" s="97" t="s">
        <v>282</v>
      </c>
      <c r="B566" s="98">
        <f>D506</f>
        <v>7321000</v>
      </c>
      <c r="C566" s="99"/>
    </row>
    <row r="567" spans="1:4" x14ac:dyDescent="0.2">
      <c r="A567" s="97" t="s">
        <v>283</v>
      </c>
      <c r="B567" s="98">
        <f>B559</f>
        <v>48801000</v>
      </c>
      <c r="C567" s="99"/>
    </row>
    <row r="568" spans="1:4" x14ac:dyDescent="0.2">
      <c r="A568" s="97" t="s">
        <v>284</v>
      </c>
      <c r="B568" s="98">
        <f>D557</f>
        <v>500000</v>
      </c>
      <c r="C568" s="99"/>
    </row>
    <row r="569" spans="1:4" x14ac:dyDescent="0.2">
      <c r="A569" s="100"/>
      <c r="B569" s="101"/>
      <c r="C569" s="90"/>
      <c r="D569" s="90"/>
    </row>
    <row r="570" spans="1:4" ht="18" x14ac:dyDescent="0.2">
      <c r="A570" s="102" t="s">
        <v>305</v>
      </c>
      <c r="B570" s="103">
        <f>SUM(B563:B568)</f>
        <v>1105040000</v>
      </c>
      <c r="C570" s="98" t="s">
        <v>306</v>
      </c>
      <c r="D570" s="104"/>
    </row>
    <row r="574" spans="1:4" ht="17" x14ac:dyDescent="0.2">
      <c r="B574" s="105" t="s">
        <v>303</v>
      </c>
    </row>
    <row r="575" spans="1:4" x14ac:dyDescent="0.2">
      <c r="B575" s="105"/>
    </row>
    <row r="576" spans="1:4" ht="17" x14ac:dyDescent="0.2">
      <c r="B576" s="105" t="s">
        <v>304</v>
      </c>
    </row>
    <row r="578" spans="3:10" ht="19" x14ac:dyDescent="0.25">
      <c r="C578" s="111"/>
      <c r="J578" s="125"/>
    </row>
  </sheetData>
  <mergeCells count="71">
    <mergeCell ref="A498:D498"/>
    <mergeCell ref="A175:D175"/>
    <mergeCell ref="A240:D240"/>
    <mergeCell ref="A256:D256"/>
    <mergeCell ref="A245:D245"/>
    <mergeCell ref="A275:D275"/>
    <mergeCell ref="A279:D279"/>
    <mergeCell ref="A183:D183"/>
    <mergeCell ref="A308:D308"/>
    <mergeCell ref="A414:D414"/>
    <mergeCell ref="A421:D421"/>
    <mergeCell ref="A208:I208"/>
    <mergeCell ref="A444:B444"/>
    <mergeCell ref="A445:D445"/>
    <mergeCell ref="A363:B363"/>
    <mergeCell ref="A364:D364"/>
    <mergeCell ref="A366:D366"/>
    <mergeCell ref="A375:D375"/>
    <mergeCell ref="A382:D382"/>
    <mergeCell ref="A390:D390"/>
    <mergeCell ref="A399:D399"/>
    <mergeCell ref="A403:B403"/>
    <mergeCell ref="A436:D436"/>
    <mergeCell ref="A435:B435"/>
    <mergeCell ref="A404:D404"/>
    <mergeCell ref="A428:D428"/>
    <mergeCell ref="A1:C1"/>
    <mergeCell ref="A3:C3"/>
    <mergeCell ref="A7:D7"/>
    <mergeCell ref="A5:D5"/>
    <mergeCell ref="A298:D298"/>
    <mergeCell ref="A280:B280"/>
    <mergeCell ref="A281:D281"/>
    <mergeCell ref="A287:D287"/>
    <mergeCell ref="A60:B60"/>
    <mergeCell ref="A62:B62"/>
    <mergeCell ref="A75:D75"/>
    <mergeCell ref="A143:B143"/>
    <mergeCell ref="A167:D167"/>
    <mergeCell ref="A97:D97"/>
    <mergeCell ref="A153:B153"/>
    <mergeCell ref="A154:D154"/>
    <mergeCell ref="A161:D161"/>
    <mergeCell ref="A125:B125"/>
    <mergeCell ref="A126:D126"/>
    <mergeCell ref="A144:D144"/>
    <mergeCell ref="A103:D103"/>
    <mergeCell ref="A35:D35"/>
    <mergeCell ref="A39:B39"/>
    <mergeCell ref="A40:D40"/>
    <mergeCell ref="A57:D57"/>
    <mergeCell ref="A58:B58"/>
    <mergeCell ref="A52:D52"/>
    <mergeCell ref="A188:D188"/>
    <mergeCell ref="A197:D197"/>
    <mergeCell ref="A296:D296"/>
    <mergeCell ref="A297:B297"/>
    <mergeCell ref="A264:B264"/>
    <mergeCell ref="A265:D265"/>
    <mergeCell ref="A303:D303"/>
    <mergeCell ref="A216:D216"/>
    <mergeCell ref="A313:D313"/>
    <mergeCell ref="A316:D316"/>
    <mergeCell ref="A301:D301"/>
    <mergeCell ref="A225:D225"/>
    <mergeCell ref="A357:D357"/>
    <mergeCell ref="A356:B356"/>
    <mergeCell ref="A318:D318"/>
    <mergeCell ref="A329:D329"/>
    <mergeCell ref="A344:D344"/>
    <mergeCell ref="A355:D355"/>
  </mergeCells>
  <phoneticPr fontId="3" type="noConversion"/>
  <pageMargins left="0.45" right="0" top="0" bottom="0" header="0.30000000000000004" footer="0.30000000000000004"/>
  <pageSetup paperSize="9" scale="63" orientation="landscape" copies="3"/>
  <rowBreaks count="11" manualBreakCount="11">
    <brk id="30" max="16383" man="1"/>
    <brk id="53" max="16383" man="1"/>
    <brk id="101" max="16383" man="1"/>
    <brk id="145" max="16383" man="1"/>
    <brk id="181" max="16383" man="1"/>
    <brk id="221" max="16383" man="1"/>
    <brk id="263" max="16383" man="1"/>
    <brk id="301" max="16383" man="1"/>
    <brk id="364" max="16383" man="1"/>
    <brk id="412" max="16383" man="1"/>
    <brk id="464" max="16383" man="1"/>
  </rowBreaks>
  <colBreaks count="1" manualBreakCount="1">
    <brk id="9" max="1048575" man="1"/>
  </col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 defaultRowHeight="16" x14ac:dyDescent="0.2"/>
  <sheetData/>
  <pageMargins left="0.75" right="0.75" top="1" bottom="1" header="0.5" footer="0.5"/>
  <pageSetup paperSize="9"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фЦС ПЛАН 2019.</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Snezana Marić</dc:creator>
  <cp:lastModifiedBy>Microsoft Office User</cp:lastModifiedBy>
  <cp:lastPrinted>2018-09-07T07:39:42Z</cp:lastPrinted>
  <dcterms:created xsi:type="dcterms:W3CDTF">2015-01-09T09:45:15Z</dcterms:created>
  <dcterms:modified xsi:type="dcterms:W3CDTF">2019-04-08T08:29:37Z</dcterms:modified>
</cp:coreProperties>
</file>