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showInkAnnotation="0" checkCompatibility="1" autoCompressPictures="0"/>
  <mc:AlternateContent xmlns:mc="http://schemas.openxmlformats.org/markup-compatibility/2006">
    <mc:Choice Requires="x15">
      <x15ac:absPath xmlns:x15ac="http://schemas.microsoft.com/office/spreadsheetml/2010/11/ac" url="/Users/Marija/Desktop/BUDŽETI/Budžet 2018./"/>
    </mc:Choice>
  </mc:AlternateContent>
  <bookViews>
    <workbookView xWindow="1180" yWindow="460" windowWidth="27980" windowHeight="17820" tabRatio="793"/>
  </bookViews>
  <sheets>
    <sheet name="фЦС ПЛАН 2018." sheetId="6" r:id="rId1"/>
    <sheet name="Sheet1" sheetId="7" r:id="rId2"/>
  </sheets>
  <definedNames>
    <definedName name="_ftn1" localSheetId="0">'фЦС ПЛАН 2018.'!#REF!</definedName>
    <definedName name="_ftnref1" localSheetId="0">'фЦС ПЛАН 2018.'!#REF!</definedName>
    <definedName name="_xlnm.Print_Area" localSheetId="0">'фЦС ПЛАН 2018.'!$A$1:$J$537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9" i="6" l="1"/>
  <c r="C90" i="6"/>
  <c r="B85" i="6"/>
  <c r="D27" i="6"/>
  <c r="D29" i="6"/>
  <c r="B522" i="6"/>
  <c r="C273" i="6"/>
  <c r="C274" i="6"/>
  <c r="C275" i="6"/>
  <c r="C276" i="6"/>
  <c r="D277" i="6"/>
  <c r="C263" i="6"/>
  <c r="C264" i="6"/>
  <c r="C268" i="6"/>
  <c r="D269" i="6"/>
  <c r="C252" i="6"/>
  <c r="C253" i="6"/>
  <c r="C254" i="6"/>
  <c r="C255" i="6"/>
  <c r="C256" i="6"/>
  <c r="C257" i="6"/>
  <c r="C258" i="6"/>
  <c r="D259" i="6"/>
  <c r="C243" i="6"/>
  <c r="D248" i="6"/>
  <c r="D230" i="6"/>
  <c r="C219" i="6"/>
  <c r="C220" i="6"/>
  <c r="C221" i="6"/>
  <c r="C222" i="6"/>
  <c r="D225" i="6"/>
  <c r="C211" i="6"/>
  <c r="C212" i="6"/>
  <c r="C213" i="6"/>
  <c r="C214" i="6"/>
  <c r="D215" i="6"/>
  <c r="C193" i="6"/>
  <c r="C194" i="6"/>
  <c r="C196" i="6"/>
  <c r="D197" i="6"/>
  <c r="C188" i="6"/>
  <c r="D189" i="6"/>
  <c r="C183" i="6"/>
  <c r="C184" i="6"/>
  <c r="D185" i="6"/>
  <c r="C177" i="6"/>
  <c r="C178" i="6"/>
  <c r="D179" i="6"/>
  <c r="C168" i="6"/>
  <c r="C169" i="6"/>
  <c r="C171" i="6"/>
  <c r="C172" i="6"/>
  <c r="D174" i="6"/>
  <c r="C157" i="6"/>
  <c r="C158" i="6"/>
  <c r="C159" i="6"/>
  <c r="C160" i="6"/>
  <c r="C161" i="6"/>
  <c r="C162" i="6"/>
  <c r="C163" i="6"/>
  <c r="D164" i="6"/>
  <c r="C147" i="6"/>
  <c r="C148" i="6"/>
  <c r="D153" i="6"/>
  <c r="C131" i="6"/>
  <c r="C137" i="6"/>
  <c r="C138" i="6"/>
  <c r="C139" i="6"/>
  <c r="C141" i="6"/>
  <c r="C142" i="6"/>
  <c r="D143" i="6"/>
  <c r="C121" i="6"/>
  <c r="C124" i="6"/>
  <c r="C125" i="6"/>
  <c r="C126" i="6"/>
  <c r="D127" i="6"/>
  <c r="C115" i="6"/>
  <c r="C116" i="6"/>
  <c r="D117" i="6"/>
  <c r="C106" i="6"/>
  <c r="C107" i="6"/>
  <c r="C108" i="6"/>
  <c r="C109" i="6"/>
  <c r="C110" i="6"/>
  <c r="D111" i="6"/>
  <c r="C92" i="6"/>
  <c r="C93" i="6"/>
  <c r="C95" i="6"/>
  <c r="C96" i="6"/>
  <c r="C97" i="6"/>
  <c r="C98" i="6"/>
  <c r="C99" i="6"/>
  <c r="C100" i="6"/>
  <c r="C101" i="6"/>
  <c r="B91" i="6"/>
  <c r="D102" i="6"/>
  <c r="C63" i="6"/>
  <c r="C64" i="6"/>
  <c r="C65" i="6"/>
  <c r="C70" i="6"/>
  <c r="C71" i="6"/>
  <c r="C74" i="6"/>
  <c r="C75" i="6"/>
  <c r="C79" i="6"/>
  <c r="C80" i="6"/>
  <c r="D81" i="6"/>
  <c r="C52" i="6"/>
  <c r="C54" i="6"/>
  <c r="C56" i="6"/>
  <c r="C58" i="6"/>
  <c r="D59" i="6"/>
  <c r="C43" i="6"/>
  <c r="C44" i="6"/>
  <c r="C46" i="6"/>
  <c r="D47" i="6"/>
  <c r="D36" i="6"/>
  <c r="D207" i="6"/>
  <c r="D279" i="6"/>
  <c r="B523" i="6"/>
  <c r="C285" i="6"/>
  <c r="C286" i="6"/>
  <c r="C287" i="6"/>
  <c r="C289" i="6"/>
  <c r="C290" i="6"/>
  <c r="D291" i="6"/>
  <c r="C295" i="6"/>
  <c r="C296" i="6"/>
  <c r="C297" i="6"/>
  <c r="D298" i="6"/>
  <c r="C302" i="6"/>
  <c r="C303" i="6"/>
  <c r="C304" i="6"/>
  <c r="C305" i="6"/>
  <c r="D306" i="6"/>
  <c r="C310" i="6"/>
  <c r="C311" i="6"/>
  <c r="C312" i="6"/>
  <c r="C313" i="6"/>
  <c r="C314" i="6"/>
  <c r="D315" i="6"/>
  <c r="C319" i="6"/>
  <c r="D320" i="6"/>
  <c r="C324" i="6"/>
  <c r="C325" i="6"/>
  <c r="C326" i="6"/>
  <c r="C327" i="6"/>
  <c r="C328" i="6"/>
  <c r="C329" i="6"/>
  <c r="C330" i="6"/>
  <c r="D331" i="6"/>
  <c r="C335" i="6"/>
  <c r="C336" i="6"/>
  <c r="C337" i="6"/>
  <c r="D338" i="6"/>
  <c r="C342" i="6"/>
  <c r="C343" i="6"/>
  <c r="C344" i="6"/>
  <c r="D345" i="6"/>
  <c r="C349" i="6"/>
  <c r="C350" i="6"/>
  <c r="C351" i="6"/>
  <c r="C352" i="6"/>
  <c r="D353" i="6"/>
  <c r="C357" i="6"/>
  <c r="C358" i="6"/>
  <c r="C359" i="6"/>
  <c r="C360" i="6"/>
  <c r="D361" i="6"/>
  <c r="D363" i="6"/>
  <c r="B524" i="6"/>
  <c r="C369" i="6"/>
  <c r="C370" i="6"/>
  <c r="C371" i="6"/>
  <c r="C372" i="6"/>
  <c r="C373" i="6"/>
  <c r="C374" i="6"/>
  <c r="D375" i="6"/>
  <c r="C379" i="6"/>
  <c r="C381" i="6"/>
  <c r="C382" i="6"/>
  <c r="C383" i="6"/>
  <c r="D384" i="6"/>
  <c r="C388" i="6"/>
  <c r="C389" i="6"/>
  <c r="C390" i="6"/>
  <c r="C391" i="6"/>
  <c r="C392" i="6"/>
  <c r="D393" i="6"/>
  <c r="C397" i="6"/>
  <c r="C398" i="6"/>
  <c r="C399" i="6"/>
  <c r="C400" i="6"/>
  <c r="D401" i="6"/>
  <c r="C405" i="6"/>
  <c r="C406" i="6"/>
  <c r="C407" i="6"/>
  <c r="C408" i="6"/>
  <c r="C409" i="6"/>
  <c r="D410" i="6"/>
  <c r="C452" i="6"/>
  <c r="C453" i="6"/>
  <c r="C454" i="6"/>
  <c r="C455" i="6"/>
  <c r="D456" i="6"/>
  <c r="C459" i="6"/>
  <c r="C460" i="6"/>
  <c r="C461" i="6"/>
  <c r="C462" i="6"/>
  <c r="D463" i="6"/>
  <c r="D419" i="6"/>
  <c r="C427" i="6"/>
  <c r="C426" i="6"/>
  <c r="C425" i="6"/>
  <c r="C424" i="6"/>
  <c r="C423" i="6"/>
  <c r="D428" i="6"/>
  <c r="C437" i="6"/>
  <c r="C436" i="6"/>
  <c r="C435" i="6"/>
  <c r="C434" i="6"/>
  <c r="C433" i="6"/>
  <c r="C432" i="6"/>
  <c r="D438" i="6"/>
  <c r="C448" i="6"/>
  <c r="C447" i="6"/>
  <c r="C446" i="6"/>
  <c r="C445" i="6"/>
  <c r="C444" i="6"/>
  <c r="C443" i="6"/>
  <c r="C442" i="6"/>
  <c r="D449" i="6"/>
  <c r="D465" i="6"/>
  <c r="B525" i="6"/>
  <c r="B518" i="6"/>
  <c r="B526" i="6"/>
  <c r="B527" i="6"/>
  <c r="B529" i="6"/>
  <c r="D466" i="6"/>
  <c r="D518" i="6"/>
</calcChain>
</file>

<file path=xl/sharedStrings.xml><?xml version="1.0" encoding="utf-8"?>
<sst xmlns="http://schemas.openxmlformats.org/spreadsheetml/2006/main" count="620" uniqueCount="503">
  <si>
    <t>ТОТАЛ</t>
  </si>
  <si>
    <t>Слање филмова и осталих материјала за селекцију</t>
  </si>
  <si>
    <t>Путни трошкови</t>
  </si>
  <si>
    <t>Хотел</t>
  </si>
  <si>
    <t>Оброци</t>
  </si>
  <si>
    <t>Три наведена програма су годишње манифестациjе, већ етаблиране, са коjима ФЦС сарађуjе. Оне су модел за нове манифестациjе коjе се редовно поjављуjу.</t>
  </si>
  <si>
    <t>Проjекциjе на маркету</t>
  </si>
  <si>
    <t xml:space="preserve">Преносиве акредитациjе </t>
  </si>
  <si>
    <t>Штампање каталога, позивница и постера</t>
  </si>
  <si>
    <t>Припадаjуће дневнице</t>
  </si>
  <si>
    <t>Смештаj</t>
  </si>
  <si>
    <t>Путно осигурање</t>
  </si>
  <si>
    <t>Додатни трошкови у Београду</t>
  </si>
  <si>
    <t>Дневнице</t>
  </si>
  <si>
    <t>Штанд</t>
  </si>
  <si>
    <t>Акредитациjе</t>
  </si>
  <si>
    <t>Преносиве акредитациjе</t>
  </si>
  <si>
    <t>Телефон</t>
  </si>
  <si>
    <t>Хостовање "Happy Hour Docs for Sale"</t>
  </si>
  <si>
    <t>Дизаjн каталога/флаjера и roll up-a</t>
  </si>
  <si>
    <t>Штампање каталога/флаjера и roll up-a</t>
  </si>
  <si>
    <t>Путни трошкови (представник ФЦС и представник документариста)</t>
  </si>
  <si>
    <t>38.000 x 2 особе</t>
  </si>
  <si>
    <t>155 x 2 особе x 2 ноћења</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</si>
  <si>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</si>
  <si>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Годишња чланарина и учешће у фонду за развоj проjеката</t>
  </si>
  <si>
    <t>Стална активност ФЦС у промоцији српског филма је и подршка продуцентским кућама у слању промотивних материјала, ДВД-јева  пре свега, фестивалима на жирирање. За оне фестивале који немају праксу да ове трошкове покривају, ФЦС чини у интересу продуцентских кућа.</t>
  </si>
  <si>
    <t>33.500 RSD x 2 особе</t>
  </si>
  <si>
    <t>35.000 RSD x 2 особе</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</si>
  <si>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2016. и почетком 2017,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</si>
  <si>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15.000 EUR</t>
  </si>
  <si>
    <t>2.500 EUR</t>
  </si>
  <si>
    <t>51 EUR x 4</t>
  </si>
  <si>
    <t>Каталог, огласи и постери - припрема, дизаjн</t>
  </si>
  <si>
    <t>150.000 RSD</t>
  </si>
  <si>
    <t>Превод и лектура (каталог, текстови за огласе, locations)</t>
  </si>
  <si>
    <t>30.000 RSD</t>
  </si>
  <si>
    <t>700 EUR</t>
  </si>
  <si>
    <t>7.500 EUR</t>
  </si>
  <si>
    <t>Путни трошкови - 4 авионске карте</t>
  </si>
  <si>
    <t>200.000 RSD</t>
  </si>
  <si>
    <t>3.500 RSD</t>
  </si>
  <si>
    <t>Трошкови на штанду и пријем ФЦС-а</t>
  </si>
  <si>
    <t>4.000 EUR</t>
  </si>
  <si>
    <t>Поклони партнерима</t>
  </si>
  <si>
    <t>20.000 RSD</t>
  </si>
  <si>
    <t>120.000 RSD</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</si>
  <si>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2017. треба платити заостале обавезе из 2016. као и током септембра 2017. платити обавезе за организациjу учешћа на Маркету 2018.</t>
  </si>
  <si>
    <t>Дизаjн каталога, огласа и постера</t>
  </si>
  <si>
    <t>Press Wall</t>
  </si>
  <si>
    <t>3.000 EUR</t>
  </si>
  <si>
    <t>Пријем ФЦС</t>
  </si>
  <si>
    <t>Трошкови на штанду и репрезентација</t>
  </si>
  <si>
    <t>Путни трошкови - 4 avionske karte</t>
  </si>
  <si>
    <t>3.100 EUR</t>
  </si>
  <si>
    <t>100 EUR</t>
  </si>
  <si>
    <t>240 EUR</t>
  </si>
  <si>
    <t>170 EUR</t>
  </si>
  <si>
    <t>Као и сваке године, једно од стратешки важних тачака за промоцију српског филма је Сарајево филм фестивал. Филмови из Србије су у два наврата за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t>
  </si>
  <si>
    <t>Авио карте</t>
  </si>
  <si>
    <t>20.000 RSD x 2</t>
  </si>
  <si>
    <t>Сарајево таленти</t>
  </si>
  <si>
    <t>50 EUR x 8 особа</t>
  </si>
  <si>
    <t>2.000 EUR</t>
  </si>
  <si>
    <t>У оквиру ИДФА - Међународног фестивала документарног филма у Амстердаму (новембар 2017), коjи jе jедан од наjвећих и наjважниjих фестивала документарног филма на свету, ФЦС планира представљање српских документарних филмова. Имаjући у виду да класичан маркет не постоjи и да продуценти самостално врше промоциjу у оквиру програма "Docs for Sale", ФЦС планира хостовање односно спонзорисање активности "Happy Hour Docs for Sale" коjа представља идеалну платформу за промоциjу у коjоj аутоматски учествуjу сви акредитовани "industry" учесници ИДФА-е.</t>
  </si>
  <si>
    <t>60.000 RSD</t>
  </si>
  <si>
    <t>36.000 RSD</t>
  </si>
  <si>
    <t>15 EUR x 1 особа x 3 дана</t>
  </si>
  <si>
    <t xml:space="preserve">FEST FORWARD jе индустриjски део Београдског  филмског фестивала FEST коjим се представља значаjан искорак у даљем развоjу FEST. Fest Forward Business to Business програм jе тродневна манифестациjа у оквиру Београдског FEST-а, коjи чине место професионалних сусрета међународних филмских професионалаца кроз сериjа предавања, радионица (workshop-ова),  представљања нових проjеката и филмова у фази постпродукциjе и других програма. Програмсклу платформу и основ ових сусрета и активности чини унапређење положаjа домаће филмске индустриjе, и у самом почетку унапређивање и осавремењивање регионалног продукционог окружења. </t>
  </si>
  <si>
    <t>Коктел добродошлице</t>
  </si>
  <si>
    <t>Кафа и ужина на паузама</t>
  </si>
  <si>
    <t>Дизаjн и штампа брошуре, плаката, флаjера</t>
  </si>
  <si>
    <t>Трошкови изнаjмљивања и опремања сале</t>
  </si>
  <si>
    <t>Трансфер у локалу (до аеродрома, ресторана...)</t>
  </si>
  <si>
    <t>Хонорари модератора сесиjа</t>
  </si>
  <si>
    <t>1.000 EUR</t>
  </si>
  <si>
    <t>TOTAЛ</t>
  </si>
  <si>
    <t>ОСКАР - номинациjа и подршка учешћу филма кандидата из Србиjе</t>
  </si>
  <si>
    <t>Чланство у Европској филмској промоцији (European Film Promotion)</t>
  </si>
  <si>
    <t>500 EUR + 3.000 EUR</t>
  </si>
  <si>
    <t>1.500 EUR</t>
  </si>
  <si>
    <t>Чланство у Мрежи кинематографиjа југоисточне Европе</t>
  </si>
  <si>
    <t>ФЦС је од Института за филм (један од оснивача Мреже) наследио чланство у Мрежи кинематографија земаља југоисточне Европе, која има фонд за развој пројеката. Два пута годишње SEE CN, током генералне скупштине, додељује подршку за развој дугометражног играног филма и снимање кратког играног филма. Осим трошкова котизације за 2017. као и чланарине, планиран је само део дневница за учешће на новембарској Генералној скупштини у Солуну, трошкове пута и боравка покрива Грчки филмски центар.</t>
  </si>
  <si>
    <t>11.000 EUR</t>
  </si>
  <si>
    <t xml:space="preserve">15 EUR x 3 дана </t>
  </si>
  <si>
    <t>5.000 EUR</t>
  </si>
  <si>
    <t>EWA (European Women's Audiovisual Network) - партнерство</t>
  </si>
  <si>
    <t>Чланство</t>
  </si>
  <si>
    <t>10.000 EUR</t>
  </si>
  <si>
    <t>FNE  Film New Europe Association</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</si>
  <si>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</si>
  <si>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Хонорар предавача</t>
  </si>
  <si>
    <t>Кетеринг за учеснике радионица</t>
  </si>
  <si>
    <t>1000 RSD x 30 учесника x 3 дана x 2 радионице</t>
  </si>
  <si>
    <t>800 EUR x 2 учесника</t>
  </si>
  <si>
    <t>Годишња чланарина</t>
  </si>
  <si>
    <t>Фонд за подршку, подстицање и промоцију српског филма</t>
  </si>
  <si>
    <t>Пријем Филмског центра Србије за међународне и домаће госте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</si>
  <si>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оглашавање у медиjима, путне трошкове представника филма и ангажовање међународног публицисте односно агенциjе за логистику и промоциjу у САД.  У том смислу контактирана је агенција KEAN &amp; KOLAR COMMUNICATIONS са седиштем у САД, која има дугогодишње искуство са европским филмовима номинованим за награду Оскар и која такође сарађује са оргнизацијом Европска филмска промоција, чије је ФЦС члан. </t>
  </si>
  <si>
    <t>ЕWА jе Женска европска аудиовизуелна мрежа коjа промовише једнакост полова у аудио-визуелном сектору у смислу приступа, као и могућности за запошљавање. У том смислу организуjе тренинге, радионице, обезбеђује платформе за размену информација и искустава о питањима коjа су од кључног значаја за жене професионалаце у оквиру аудиовизуелног сектора.  Кроз умрежавање и чланство ФЦС учествоваће у организациjи радионица, тренинга и промоциjи рада продуценткиња и омогућиће њихову већу видљивост и присуитност те продукциjу у оквиру европског аудиовизуелног тржишта. Чланство укључуjе стратешко партнерство са овом мрежом и омогућава одрживи развоj наше филмске индустриjе jер даjе приступ радионицама  и тренинзима коjи омогућаваjу професионално усавршавање жена из наше индустриjе.</t>
  </si>
  <si>
    <t>Ради промоције српске кинематографије и пореских олакшица за снимање аудио визуелних дела у Србији (tax incentives) Филмски Центар Србије планира да за време филмских фестивала даје огласе у страним филмским магазинима: The Hollywood Reporter, Screen International, Cannes Market News, Film Francais, Variety. Напомињемо да су ово цене са попустом од око 50% коjе добиjамо захваљуjући дугогодишњоj сарадњи и познанствима</t>
  </si>
  <si>
    <t>Авионске карте</t>
  </si>
  <si>
    <t>Котизациjа за радионице</t>
  </si>
  <si>
    <t>Смештај</t>
  </si>
  <si>
    <t>15 EUR x 2 особe x 3 дана x 10 фестивала</t>
  </si>
  <si>
    <t>Дневнице за представнике ФЦС</t>
  </si>
  <si>
    <t>1) Фестивал српског филма у Хелсинкиjу, у октобру 2018, у сарадњи са српско-финским друштвом и Амбасадом РС у Хелсинкиjу</t>
  </si>
  <si>
    <t>2) Филманак - дани српског филма у Виртембергу, у октобру 2018, у сарадњи са Српском академском мрежом "Никола Тесла"</t>
  </si>
  <si>
    <t>Промотивни материјали на штанду (торбе, УСБ картице)</t>
  </si>
  <si>
    <t>Павиљон, изнајмљиање простора, изградња и декорација</t>
  </si>
  <si>
    <t>3) Дани српског филма у Пули, април 2018, у сарадњи са Српским културним центром</t>
  </si>
  <si>
    <t>II део трошкова за Маркет 2018, jануар 2018.</t>
  </si>
  <si>
    <t>I део трошкова за Маркет 2019, септембар 2018.</t>
  </si>
  <si>
    <t>15 EUR x 3 дана x 2 особе</t>
  </si>
  <si>
    <t>Пријем</t>
  </si>
  <si>
    <t xml:space="preserve">Телефон и интернет претплата и утрошени импулси </t>
  </si>
  <si>
    <t>300 EUR</t>
  </si>
  <si>
    <t>200 EUR</t>
  </si>
  <si>
    <t>3.500 EUR</t>
  </si>
  <si>
    <t>Услуге стурчног саветовања и тренинга страних експерата</t>
  </si>
  <si>
    <t>Индијски међународни маркет / Филмска федерација Индије</t>
  </si>
  <si>
    <t>Изнајмљивање штанда, опреме, акредитације и котизација за учешће на округлим столовима са индијским прод.</t>
  </si>
  <si>
    <t>Репрезентација / пријеми у част учешћа српских филмова и аутора на фестивалима</t>
  </si>
  <si>
    <t>Награде - национална и интернационална селекција</t>
  </si>
  <si>
    <t>Награда младе публике - Young Audience Award European film academy</t>
  </si>
  <si>
    <t>Focus Serbia / VISIONS DU RÉEL - FESTIVAL INTERNATIONAL DE CINÉMA NYON</t>
  </si>
  <si>
    <t>Авионске карте за делегацију</t>
  </si>
  <si>
    <t>Филмски фестивал у Ниону је један од најзначајнијих европских фестивала документарног филма. На предлог организатора Фестивала, за 2018. годину планиран је програм ”Фокус на Србију”. Кроз овај програм и Фестивал и Маркет би се фокусирали на висок квалитет српске документарне продукције у последњих 15 година. Програм би укључио 8-10 краткометражних, средњеметражних и дугометражних документарних филмова као и 5 пројеката у различитим фазама (развој / продукција / пост продукција). Значај овог фокуса је велики не само са становишта промоције српске кинематографије него и као отварање могућности за копродукције. Што се делегације тиче, Фестивал би покрио трошкове смештаја, оброка и акредитација за 10 представника (ауторе, представника ФЦС, филмског критичара / експерта...) а ФЦС би покрио трошкове пута и пријема који би се одржао у част овог програма и Србије као земље у фокусу.</t>
  </si>
  <si>
    <t xml:space="preserve">35.000 RSD x 10 </t>
  </si>
  <si>
    <t>Хонорар за координатора програма</t>
  </si>
  <si>
    <t>100.000 RSD x 2 oсобе</t>
  </si>
  <si>
    <t>Штампа брошуре</t>
  </si>
  <si>
    <t>Дизајн и прелом брошуре</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</si>
  <si>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Maia Workshops,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кjонкурс ФЦС за мањинске копродукциjе и начини аплицирања.</t>
  </si>
  <si>
    <t>1.000 EUR * 5 експерата</t>
  </si>
  <si>
    <t>5.187 EUR</t>
  </si>
  <si>
    <t>180 EUR</t>
  </si>
  <si>
    <t>Наjам опреме за штанд (панели, media wall, намештаj)</t>
  </si>
  <si>
    <t>МЕЂУНАРОДНA САРАДЊA И ПРОМОЦИЈА  - план и програм 2018.</t>
  </si>
  <si>
    <t>Shooting Stars, октобар - децембар 2018.</t>
  </si>
  <si>
    <t>Producers on the Move, април - маj 2018.</t>
  </si>
  <si>
    <t>Генерална скупштина у Хамбургу, новембар 2018. (путни трошкови и дневнице)</t>
  </si>
  <si>
    <t>Берлин - 2 x 1/1 страна (2 x 1.600 EUR) + 2 x 1/2 стране (2 х 900 EUR) + 1 x 1/4 стране (500 EUR)</t>
  </si>
  <si>
    <t>Кан - 2 x 1/1 страна (2 x 1.600 EUR) + 2 x 1/2 стране (2 х 900 EUR) + 1 x 1/4 стране (500 EUR)</t>
  </si>
  <si>
    <t>Два непланирана А фестивала на којима учествује неки од српских филмоа у ваничном програму 2 x 1/1 (2 x 1.500 EUR)</t>
  </si>
  <si>
    <t>5.500  EUR</t>
  </si>
  <si>
    <t>3.000  EUR</t>
  </si>
  <si>
    <t>Хонорар ПР-а за 2 фестивала</t>
  </si>
  <si>
    <t>Оглашавање у страним филмским часописима и ПР</t>
  </si>
  <si>
    <t>MIDPOINT</t>
  </si>
  <si>
    <t>40.000 EUR</t>
  </si>
  <si>
    <t>365 EUR</t>
  </si>
  <si>
    <t>MIDPOINT је међународни тренинг програм намењен филмским професионалцима у успону.  MIDPOINT тренинг прорам се фокусира на филмске пројекте у развоју (први и други дугометражни филм) и током две годишње радионице подразумева рад са креативним тимом који чине сценариста, редитељ и продуцент. Филмски центар Србиjе планира да у партнерству са MIDPOINT-ом организуjе ”MIDPOINT Feature Launch” - прву радионицу (W1) у Београду, крајем априла 2018. године, као и посебну радионицу ”MIDPOINT Intensive Serbia” искључиво за филмске професионалце из Србије. Ова радионица би омогућила домаћим филмским професионалцима да развију свој сценарио као и да буду део ”MIDPOINT Feature Launch” радонице. Филмски центар Србиjе би на себе преузео трошкове и организациjу овог догађаjа што подразумева: смештаj и исхрана есперата и MIDPOINT тима, рентирање сале са свим неопходним техничким условима, канцелариjски материjал, аудио-визуелна опрема, локални транспорт, IT... Систем покривања трошкова коjи MIDPOINT заступа jе да директно вриши плаћања. То значи да би ФЦС извршио уплату целокупне суме на рачун MIDPOINT-а, тако да би сва плаћања ишла преко њих.</t>
  </si>
  <si>
    <t>Слање / превоз материјала</t>
  </si>
  <si>
    <t>Слање филмова и материјала</t>
  </si>
  <si>
    <t>Превоз страних експерата у локалу</t>
  </si>
  <si>
    <t>600 EUR</t>
  </si>
  <si>
    <t>4.500 EUR</t>
  </si>
  <si>
    <t>Радни ручкови</t>
  </si>
  <si>
    <t>Припрема каталога (прикупљање и обрада података и материјала за филмове)</t>
  </si>
  <si>
    <t>60 гостију x 3.000 RSD x 2 ручка и 3 вечере</t>
  </si>
  <si>
    <t>Поклони и промо материјали за госте (торбе, свеске, оловке)</t>
  </si>
  <si>
    <t>60 гостију x 5 EUR</t>
  </si>
  <si>
    <t>90 х 1,5 EUR</t>
  </si>
  <si>
    <t>Акредитације за госте, учеснике и организаторе</t>
  </si>
  <si>
    <t>4.000 EUR х 2 награде</t>
  </si>
  <si>
    <t>Подршка дистрибуцији</t>
  </si>
  <si>
    <t xml:space="preserve">1,5 EUR по минуту филма </t>
  </si>
  <si>
    <t xml:space="preserve">600 EUR </t>
  </si>
  <si>
    <t>Титловање DCP-а - 5 филмова</t>
  </si>
  <si>
    <t>Превод - 5 филмова</t>
  </si>
  <si>
    <t>Адаптација и штампа постера</t>
  </si>
  <si>
    <t>25.000 RSD x 3 особe</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</si>
  <si>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2018. </t>
  </si>
  <si>
    <t>Координатор пројекта</t>
  </si>
  <si>
    <t>Координатор Дечијег жирија</t>
  </si>
  <si>
    <t>Модератор радионица</t>
  </si>
  <si>
    <t>ПР пројекта</t>
  </si>
  <si>
    <t>Дизајнер</t>
  </si>
  <si>
    <t xml:space="preserve">Техничар </t>
  </si>
  <si>
    <t>Права за филмове</t>
  </si>
  <si>
    <t>3 филма по 12.000 RSD</t>
  </si>
  <si>
    <t>Превод и титловање</t>
  </si>
  <si>
    <t>3 филма (минут по 180 RSD)</t>
  </si>
  <si>
    <t>Транспорт и израда DCP-а</t>
  </si>
  <si>
    <t>3 филма по 20.000 RSD</t>
  </si>
  <si>
    <t>Кетеринг за учеснике</t>
  </si>
  <si>
    <t>100 учесника по 400 RSD</t>
  </si>
  <si>
    <t>Видео и фото документација</t>
  </si>
  <si>
    <t xml:space="preserve">Путовања пројектног тима </t>
  </si>
  <si>
    <t>Штампа (постери, гласачки листићи, флајери, беџеви)</t>
  </si>
  <si>
    <t>Штампа информативног буклета о филмовима и догађају</t>
  </si>
  <si>
    <t>FIRST FILMS FIRST</t>
  </si>
  <si>
    <t>FIRST FILMS FIRST je континуални професионални тренинг намењен младим редитељима Jугоисточне Европе коjи развиjаjу своjе прве дугометражне игране филмове. Седиште програма jе у Београду, где се одвиjа и наjкомплексниjа радионица у оквиру програма. Програм обуке се састоjи од 4 модула/радионице, у укупном временском распону од 10 месеци, осмишљених тако да омогуће учесницима да развиjу своj први играни филм, водећи их корак по корак кроз различите фазе развоjа проjекта.</t>
  </si>
  <si>
    <t>Смештај учесника</t>
  </si>
  <si>
    <t>Путни трошкови учесника</t>
  </si>
  <si>
    <t>100 EUR х 8 особа</t>
  </si>
  <si>
    <t>65 EUR х 8 особа х 7 ноћи</t>
  </si>
  <si>
    <t>4.000 RSD x 8 особа х 6 дана</t>
  </si>
  <si>
    <t>Оброци учесника</t>
  </si>
  <si>
    <t>Путни трошкови тутора</t>
  </si>
  <si>
    <t>Смештај тутора</t>
  </si>
  <si>
    <t>Оброци тутора</t>
  </si>
  <si>
    <t>300 EUR х 2 особе</t>
  </si>
  <si>
    <t>65 EUR х 2 особе х 7 ноћи</t>
  </si>
  <si>
    <t>4.000 RSD x 2 особе х 6 дана</t>
  </si>
  <si>
    <t>Хонорари тутора</t>
  </si>
  <si>
    <t>1.500 EUR х 3 тутора</t>
  </si>
  <si>
    <t>Превод</t>
  </si>
  <si>
    <t>Штампа</t>
  </si>
  <si>
    <t>Дизајн</t>
  </si>
  <si>
    <t>Истраживање и анализа тржишта</t>
  </si>
  <si>
    <t>На иницијативу Амбасаде РС у Њу Делхију, планирано је учешћа Филмско центра Србије на Индијском међународном филмском маркету, који ће се одржати од 1. до 3. марта 2018. године. Наглашено је да би то била јединствена прилика за привлачење страних продукција за снимање на локацијама у Србији, нарочито имајући у виду пореске олакшице које Србија нуди. У том смислу промоција наших локација, сервиса и услуга које пружају домаћи продуценти као и капацитети студија и пост продукционих услуга, била би веома корисна за домаћу филмску индустрију и привреду. Организатор Маркета је за прво учешће Србије на Маркету понудио Амбасади РС посебан попуст у износу од 20%.</t>
  </si>
  <si>
    <t>150 EUR x 4 ноћи x 2 особе</t>
  </si>
  <si>
    <t>15 EUR x 5 дана x 2 особе</t>
  </si>
  <si>
    <t>ТОТАЛ МЕЂУНАРОДНА</t>
  </si>
  <si>
    <t>Фонд за  подршку посебним програмима</t>
  </si>
  <si>
    <t>4) Програм ”Српски дани” у оквир Филмског фестивала у Херцег Новом</t>
  </si>
  <si>
    <t>Пријем у част учешћа српских филмова</t>
  </si>
  <si>
    <t>Трошкови освежења за чланове АФУН током избора филма</t>
  </si>
  <si>
    <t>Рентирање сале и опреме</t>
  </si>
  <si>
    <t>Укупни трошкови учешћа</t>
  </si>
  <si>
    <t>Маркет Канског филмског фестивала</t>
  </si>
  <si>
    <t>Маркет Берлинског филмског фестивала</t>
  </si>
  <si>
    <t>Сараjево филм фестивал</t>
  </si>
  <si>
    <t>FEST - FEST FORWARD</t>
  </si>
  <si>
    <t>Промоција локација и подстицаја у Србији</t>
  </si>
  <si>
    <t>150 EUR x 3 ноћи x 10 особa</t>
  </si>
  <si>
    <t xml:space="preserve">Сагласно Уредби о подстицајима инвеститору да у Републици Србији производи аудиовизуелно дело, а у циљу подстицања привредних активности у вези са аудиовизуелном производњом, Филмски центар Србије ради на промоцији домаћих локација, услуга и опреме, и тако доприноси економском развоју креативног сектора у Србији. </t>
  </si>
  <si>
    <t>Путни трошкови и смештај за два учесника на фестивалима у Солуну и Лисабону (награда)</t>
  </si>
  <si>
    <t>3.000 RSD</t>
  </si>
  <si>
    <t xml:space="preserve">ИДФА - промоциjа документарних филмова </t>
  </si>
  <si>
    <t>Укупни трошкови промоције номинованог филма</t>
  </si>
  <si>
    <t xml:space="preserve">Радионице за документарни филм </t>
  </si>
  <si>
    <t>37.500 RSD x 6 предавача x 2 радионице</t>
  </si>
  <si>
    <t xml:space="preserve">Путни трошкови и смештај за предаваче </t>
  </si>
  <si>
    <r>
      <rPr>
        <sz val="12"/>
        <rFont val="Arial Narrow"/>
        <family val="2"/>
      </rPr>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r>
    <r>
      <rPr>
        <b/>
        <sz val="12"/>
        <rFont val="Arial Narrow"/>
        <family val="2"/>
      </rPr>
      <t xml:space="preserve">
</t>
    </r>
  </si>
  <si>
    <t>Састанак Француска Србија у области филма</t>
  </si>
  <si>
    <t>После успешно одржаног првог сусрета филмских професионалаца Француске и Србије у оквиру фестивала ауторског филма планиран је за новембар 2018. трећи сусрет са фокусом на копродукције филмова усмерених ка ширем гледалишту. Продуценти из Србије представиће француским колегама пројкете који су подржани на конкурсима Филмског центра Србије. Такође, састанак је отворен и за независне продукције. Циљ сусрета је повећања броја билатералних копродукција и унапређење квалитета сарадње између две кинематографије.</t>
  </si>
  <si>
    <t xml:space="preserve">35.000 х 10 гостију </t>
  </si>
  <si>
    <t>Оброци за учеснике састанака</t>
  </si>
  <si>
    <t>30 гостију х 3 дана х 2 оброка х 3.000 РСД</t>
  </si>
  <si>
    <t>Хонорар програмера и администратора веб сајта MEDIA деска</t>
  </si>
  <si>
    <t>Закуп простора и опреме</t>
  </si>
  <si>
    <t>Годишњи састанци Дескова Креативне Европе</t>
  </si>
  <si>
    <t xml:space="preserve">Учешће на годишњим састанцима Дескова Креативне Европе из целе Европе. На годишњем нивоу  EACEA  и DG CNECT организују два годишња састанка у трајању од 4 дана на којима је обавезно присуство свих дескова. Место састанака биће накнадно одређено.  </t>
  </si>
  <si>
    <t xml:space="preserve">Дневнице (2 особе x 4 дана x 2 састанка ) </t>
  </si>
  <si>
    <t>Авио карте (2 особе x 2 путовања)</t>
  </si>
  <si>
    <t>Регионална и прекогранична сарадња са другим десковима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</si>
  <si>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</si>
  <si>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 xml:space="preserve">250 RSD x 2 особe х 2 </t>
  </si>
  <si>
    <t>Хотелски смештај  (2 особе x 2 састанка x 4 ноћења)</t>
  </si>
  <si>
    <t>Авио карте (1 особа x 4 путовања)</t>
  </si>
  <si>
    <t>15 EUR х 16 дана х 1 особа</t>
  </si>
  <si>
    <t>Хотелски смештај  (1 особа x 16 ноћења)</t>
  </si>
  <si>
    <t xml:space="preserve">Дневнице (1 особа x 4 дана x 4 сарадње ) </t>
  </si>
  <si>
    <t>65 EUR х 1 особа  х 16 ноћења</t>
  </si>
  <si>
    <t>15 EUR х 2 особе х 4 дана х 2 састанка</t>
  </si>
  <si>
    <t>50 EUR х 2 особе х 4 дана х 2 састанка</t>
  </si>
  <si>
    <t xml:space="preserve">Организација промотивног догађаја </t>
  </si>
  <si>
    <t>800 EUR x 2 промотивна догађаја</t>
  </si>
  <si>
    <t>250 EUR x 1 особа х 4 путовања</t>
  </si>
  <si>
    <t xml:space="preserve">Организација 4 инфодана у Србији: општа презентација MEDIA потпрограма.   </t>
  </si>
  <si>
    <t>20 EUR x 12 дана  x 1 особа</t>
  </si>
  <si>
    <t>Дневнице (1 особа x 12 дана)</t>
  </si>
  <si>
    <t>50 EUR x 4 путовања  x 1 особа</t>
  </si>
  <si>
    <t>Закуп опреме и простора (4 догађаја)</t>
  </si>
  <si>
    <t>700 EUR x 4 догађаја</t>
  </si>
  <si>
    <t xml:space="preserve">Освежење за учеснике </t>
  </si>
  <si>
    <t>Презентација MEDIA потпрограма</t>
  </si>
  <si>
    <t>Тренинзи</t>
  </si>
  <si>
    <t xml:space="preserve">Организација 4 тренинга/презентација конкурсних процедура </t>
  </si>
  <si>
    <t>Освежење за учеснике (4 догађаја)</t>
  </si>
  <si>
    <t>5 EUR x 4 догађаја  x 25 особа</t>
  </si>
  <si>
    <t xml:space="preserve">Организација 2 семинара/предавања са фокусом на развој аудиовизуелног сектора у Србији. Два предавања су већ дефинисана: 1) From scretch to script: how to develop your film 2) Video gaming industry in Serbia: where we are heading to? Оба догађаја биће организована у трајању од три дана са интернационалним предавачима и презентацијама примера добре праксе и успешног пословања. Предавачи ће бити накнадно утврђени. </t>
  </si>
  <si>
    <t>350 EUR x 3 предавача x 2 семинара</t>
  </si>
  <si>
    <t>Оброци за госте</t>
  </si>
  <si>
    <t>Хонорари за предаваче</t>
  </si>
  <si>
    <t>700 EUR x 2 семинара</t>
  </si>
  <si>
    <t>Освежење</t>
  </si>
  <si>
    <t>30 EUR x 2 семинара x 15 гостију</t>
  </si>
  <si>
    <t>Промоција догађаја</t>
  </si>
  <si>
    <t>250 EUR x 2 семинара</t>
  </si>
  <si>
    <t>Семинари и предавања</t>
  </si>
  <si>
    <t>Посета 4 домаћа филмска фестивала и организација MEDIA деск инфо штанда</t>
  </si>
  <si>
    <t>50 EUR x 4 ноћи x 1 особа</t>
  </si>
  <si>
    <t xml:space="preserve">Присуство на 4 интернационална филмска маркета у трајању до 7 дана: Берлинаре, Кански маркет и још два која ће накнадно бити одређена у зависности од планираних годишњих активности MEDIA канцеларија свих Дескова у Европи и  активности EACEA  и DG CNECT у оквиру тих маркета. </t>
  </si>
  <si>
    <t>Присуство на интернационалним филмским маркетима</t>
  </si>
  <si>
    <t>Присуство на домаћим филмским фестивалима</t>
  </si>
  <si>
    <t>350 EUR x 1 особа  x 4 фестивала</t>
  </si>
  <si>
    <t>50 EUR x 28 ноћења x 1 особа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</si>
  <si>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</si>
  <si>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Брошура MEDIA деска</t>
  </si>
  <si>
    <t>Лектура и коректура</t>
  </si>
  <si>
    <t xml:space="preserve">150 EUR </t>
  </si>
  <si>
    <t xml:space="preserve">300 EUR </t>
  </si>
  <si>
    <t>500 EUR</t>
  </si>
  <si>
    <t>Штампа (обим страна:30; тираж: 1500 )</t>
  </si>
  <si>
    <t>Промоција MEDIA деска</t>
  </si>
  <si>
    <t xml:space="preserve">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MEDIA потпрограма и MEDIA деска путем електронских медија и организација 4 промотивна догађаја током следећих догађаја: Fest Forward, MIDPOINT радионице у Србији и још два догађаја која ће бити накнадно одређена.  </t>
  </si>
  <si>
    <t xml:space="preserve">Рекламирање у каталозима филмских фестивала </t>
  </si>
  <si>
    <t>Промотивни материјал (торбе, свеске, оловке, цегери)</t>
  </si>
  <si>
    <t xml:space="preserve">1000 EUR </t>
  </si>
  <si>
    <t>250 EUR x 2 огласа</t>
  </si>
  <si>
    <t>Рекламирање у електронским медијима</t>
  </si>
  <si>
    <t>4 промотивна догађаја</t>
  </si>
  <si>
    <t>800 EUR x 4 промотивна догађаја</t>
  </si>
  <si>
    <t>ТОТАЛ MEDIA ПРОГРАМ</t>
  </si>
  <si>
    <t>Хонорари</t>
  </si>
  <si>
    <t>Хонорари координатора програма (део који се финансира из буџета Министарства културе и информисања</t>
  </si>
  <si>
    <t>Хонорар финансијског менаџера и консултанта на програму (део који се финансира из буџета Министарства културе и информисања</t>
  </si>
  <si>
    <t xml:space="preserve">75. 000 RSD x 12 месеци </t>
  </si>
  <si>
    <t xml:space="preserve">35.600 RSD x 12 месеци </t>
  </si>
  <si>
    <t xml:space="preserve">12.000 RSD x 12 месеци </t>
  </si>
  <si>
    <t>Правне услуге</t>
  </si>
  <si>
    <t xml:space="preserve">20.000  RSD x 12 месеци </t>
  </si>
  <si>
    <t>243.980 RSD x 1</t>
  </si>
  <si>
    <t>Хонорар администратора ФБ страница MEDIA деска</t>
  </si>
  <si>
    <t>Трошкови оглашавања активности које током године реализује MEDIA деска (ПР)</t>
  </si>
  <si>
    <t>Хотелски смештај  (1 особа x 3 ноћења x 4 догађаја)</t>
  </si>
  <si>
    <t>Путни трошкови  (1 особа x 4 путовања)</t>
  </si>
  <si>
    <t>10 EUR x 4 догађаја x 50 особа</t>
  </si>
  <si>
    <t>Путни трошкови за предаваче (3 предавача x 2 семинара)</t>
  </si>
  <si>
    <t>Хотелски смештај за предаваче (3 предавача x 2 семинара x 2 ноћења)</t>
  </si>
  <si>
    <t>Дневнице (1 особа x 8 дана )</t>
  </si>
  <si>
    <t xml:space="preserve">20 EUR x 2 дана x 4 фестивала x 1 особа </t>
  </si>
  <si>
    <t>Путни  трошкови (1 особа x 4 путовања)</t>
  </si>
  <si>
    <t>Хотелски смештај (1 особа x 4 ноћења)</t>
  </si>
  <si>
    <t>Дневнице (1 особа x 7 дана x 4 фестивала )</t>
  </si>
  <si>
    <t xml:space="preserve">15 EUR x 7 дана x 4 фестивала </t>
  </si>
  <si>
    <t>Путни трошкови (1 особа x 4 путовања)</t>
  </si>
  <si>
    <t>Хотелски смештај (1 особа x 7 ноћења x 4 фестивала)</t>
  </si>
  <si>
    <t>20 EUR x 3 ноћење x 1 особа x 4 догађаја</t>
  </si>
  <si>
    <t>65 EUR x 2 ноћење x 3 предавача x 2 семинара</t>
  </si>
  <si>
    <t>30 EUR x 2 семинара x 10 гостију</t>
  </si>
  <si>
    <t>300 EUR x 3 предавача x 2 семинара</t>
  </si>
  <si>
    <t>50 EUR x 1 особа x 4 фестивала</t>
  </si>
  <si>
    <t>Заједнички штанд на маркету фестивала у Торонту</t>
  </si>
  <si>
    <t xml:space="preserve">Путни трошкови и смештај за представника ФЦС + дневнице </t>
  </si>
  <si>
    <t>900 ЕУР + 700 ЕУР +75 ЕУР</t>
  </si>
  <si>
    <t>Hot Docs Toronto - поглед на европски документарни филм (заједнички трошкови)</t>
  </si>
  <si>
    <t>1000 ЕУР</t>
  </si>
  <si>
    <t>Путни трошкови и смештај за редитеља</t>
  </si>
  <si>
    <t>1500 ЕУР</t>
  </si>
  <si>
    <t>Путни трошкови и смештај за представника ДокСрбија на скупштини ЕДН</t>
  </si>
  <si>
    <t>Чланство у европској документарној мрежи - ЕДН</t>
  </si>
  <si>
    <t>4 x 100 EUR x 45000 РСД</t>
  </si>
  <si>
    <t>45.000 + 15 EUR x 2 + 50 EUR</t>
  </si>
  <si>
    <t xml:space="preserve">Дугометражни играни филм </t>
  </si>
  <si>
    <t>Комерцијални филм</t>
  </si>
  <si>
    <t>Филм са националном темом</t>
  </si>
  <si>
    <t>Развој и унапређење сценарија</t>
  </si>
  <si>
    <t>Развој пројеката</t>
  </si>
  <si>
    <t>Преддигитализација и дигитализација</t>
  </si>
  <si>
    <t>Мањинске продукције</t>
  </si>
  <si>
    <t>КОНКУРСИ - План и програма  2018.</t>
  </si>
  <si>
    <t xml:space="preserve">ДДФ - Дан домаћег филма </t>
  </si>
  <si>
    <t>Биоскопске пројекције филмова о којима се прича</t>
  </si>
  <si>
    <t>ДАН ДОМАЋЕГ ФИЛМА је програм посвећен промоцији домаћег филмског стваралаштва. Пројекције документарних филмова чију је производњу помогао Филмски центар Србије. Представљамо филмове који уобичајено нису на биоскопском репертоару, а који заслужују да буду виђени. После сваке пројекције публика ће бити у прилици да разговара са ауторима филма</t>
  </si>
  <si>
    <t>Хонорар координатора програма</t>
  </si>
  <si>
    <t>Хонорар ПР</t>
  </si>
  <si>
    <t>Дизајн плаката</t>
  </si>
  <si>
    <t>Штампа плаката</t>
  </si>
  <si>
    <t>ФБ кампања</t>
  </si>
  <si>
    <t>10.000 RSD x 10 месеци</t>
  </si>
  <si>
    <t>32.100 RSD x 10 месеци</t>
  </si>
  <si>
    <t>6.000 RSD x 10 месеци</t>
  </si>
  <si>
    <t>ИЗДАВАШТВО- план и програм 2018.</t>
  </si>
  <si>
    <t>Greg DeCuir, Jr. ЈУГОСЛОВЕНСКИ ЦРНИ ТАЛАС - двојезично издање /енглеско -српско/</t>
  </si>
  <si>
    <t>Обим страна: 650</t>
  </si>
  <si>
    <t>Хонорар аутора</t>
  </si>
  <si>
    <t>Превод на енглески</t>
  </si>
  <si>
    <t>Лектура/коректура текста на српском и лектура на енглеском</t>
  </si>
  <si>
    <t>Прелом и скенирање материјала</t>
  </si>
  <si>
    <t>Израда индекса</t>
  </si>
  <si>
    <t>Ђорђе Бајић, Зоран Јанковић, Иван Велисављевић: КРИТИЧКИ ВОДИЧ КРОЗ СРПСКИ ФИЛМ - издање на енглеском језику</t>
  </si>
  <si>
    <t>Хонорари аутора</t>
  </si>
  <si>
    <t>Обим страна: 700</t>
  </si>
  <si>
    <t xml:space="preserve">2.200 EUR x 3 аутора  </t>
  </si>
  <si>
    <t>Лектура</t>
  </si>
  <si>
    <t>Весна Перић: ТЕОРИЈА НАРАТИВНИХ КОНСТРУКЦИЈА У ПОСТЈУГОСЛОВЕНСКОМ ФИЛМУ ОД 1994. ДО 2008. ГОДИНЕ</t>
  </si>
  <si>
    <t>Обим страна: 400</t>
  </si>
  <si>
    <t>Лектура/ коректура</t>
  </si>
  <si>
    <t>Прелом, дизајн и скенирање материјала</t>
  </si>
  <si>
    <t>Срђан Јокановић: ИНТЕРВЈУ СА ФИЛМСКИМ РЕДИТЕЉИМА</t>
  </si>
  <si>
    <t>Обим страна: 600</t>
  </si>
  <si>
    <t>Лектура/коректура</t>
  </si>
  <si>
    <t>Владимир Коларић: ТРАНСФОРМАЦИЈА КЊИЖЕВНОГ ТЕКСТА ДОСТОЈЕВСКОГ У ФИЛМОВИМА ЖИВОЈИНА ПАВЛОВИЋА</t>
  </si>
  <si>
    <t>Обим страна: 500</t>
  </si>
  <si>
    <t xml:space="preserve">БЕОГРАДСКИ САЈАМ </t>
  </si>
  <si>
    <t>Трошкови слања књига</t>
  </si>
  <si>
    <t>Закуп штанда</t>
  </si>
  <si>
    <t>Хонорар за особље на штанду</t>
  </si>
  <si>
    <t>Промотивни трошкови - плакати и промоција</t>
  </si>
  <si>
    <t>АНДРИЋГРАД</t>
  </si>
  <si>
    <t>Промотивно вече ФЦС-а са коктелом</t>
  </si>
  <si>
    <t>ТОТАЛ ИЗДАВАШТВО</t>
  </si>
  <si>
    <t>ЗАХТЕВ УСТАНОВЕ / средства из БУЏЕТА</t>
  </si>
  <si>
    <t>ОПИС</t>
  </si>
  <si>
    <t>РЕДОВНА ДЕЛАТНОСТ</t>
  </si>
  <si>
    <t>ПРОГРАМИ И ИНВЕСТИЦИЈЕ</t>
  </si>
  <si>
    <t>Зараде</t>
  </si>
  <si>
    <t>Плате,  додаци и накнаде запослених</t>
  </si>
  <si>
    <t xml:space="preserve">Социјални доприноси </t>
  </si>
  <si>
    <t>Допринос за пензијско и инвалидско осигурање</t>
  </si>
  <si>
    <t>Допринос за здравствено осигурање</t>
  </si>
  <si>
    <t>Допринос за незапосленост</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</si>
  <si>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</si>
  <si>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</si>
  <si>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</si>
  <si>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</si>
  <si>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</si>
  <si>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</si>
  <si>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</si>
  <si>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</si>
  <si>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</si>
  <si>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</si>
  <si>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</si>
  <si>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</si>
  <si>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</si>
  <si>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</si>
  <si>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</si>
  <si>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</si>
  <si>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</si>
  <si>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</si>
  <si>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</si>
  <si>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</si>
  <si>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</si>
  <si>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</si>
  <si>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</si>
  <si>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</si>
  <si>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</si>
  <si>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</si>
  <si>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</si>
  <si>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</si>
  <si>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</si>
  <si>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</si>
  <si>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</si>
  <si>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</si>
  <si>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</si>
  <si>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</si>
  <si>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</si>
  <si>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</si>
  <si>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</si>
  <si>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</si>
  <si>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Опрема за образовање, науку, културу и спорт</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</si>
  <si>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</si>
  <si>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</si>
  <si>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</si>
  <si>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</si>
  <si>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</si>
  <si>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</si>
  <si>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Филмски центар Србије</t>
  </si>
  <si>
    <t>ПЛАН И ПРОГРАМ ЗА 2018. ГОДИНУ</t>
  </si>
  <si>
    <t>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2018.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Циљеви MEDIA потпрограма су:
- Јачање европског аудиовизуелног и мултимедијалног сектора наглашавајући европски идентитет, наслеђе и културну разноликост;
- Већа присутност европских аудиовизуелних дела на међународном тржишту;
- Јачање и подстицање иновативности и конкурентности европског аудиовизуелног сектора.
Финансирање је доступно у неколико категорија које обухватају: подршку продуцентима за развој иновативних и конкурентних пројеката из области филма, ТВ програма и видео игара, подршку дистрибуцији европских аудиовизуелних дела, развој публике и професионално усавршавање и умрежавање.
У 2018. години MEDIA деск Србије планира да, поред уобичајних активности које подразумевају континуирану пружање информација о MEDIA потпрограму и конкурсима који постоје у оквиру MEDIA потпрограма и асистирања у развоју апликација, организује и инфо дане,  едукативне програме и семинаре који ће бити фокусирани на специфичне проблеме филмске индустрије и аудиовизуелног сектора у Србији и учествује на домаћим, регионалним и интернационалним филмским фестивалима.продаjе и дистрибуциjе, сценариjа, камере, звука, дизаjна сценографиjе, нових технологиjа и анимациjе. Имајући у виду да се ради о једној  од најзначајнијих радионица у Европи за развој филмске индустрије која нуди разноврстан програм усавршавања из различитих области кинематографије, учешће српских филмских професионалаца а на овој престижној радионици је од великог значаја. У договору са организаторима програма, учешће најмање једног полазника из Србије је загарановано.  Четири месеца интензивног програма подразумева и појединачне консултације стручњака, учешће на радионицама као и организацију и супервизију наставног плана и програма NIPKOW.</t>
  </si>
  <si>
    <t>ТОТАЛ РЕДОВНА ДЕЛАТНОСТ И ИНВЕСТИЦИЈЕ</t>
  </si>
  <si>
    <t>ПРИКАЗ ПЛАНИРАНИХ РАСХОДА ФЦС У 2018.</t>
  </si>
  <si>
    <t>2.000  EUR x 2 особе</t>
  </si>
  <si>
    <t xml:space="preserve">ТОТАЛ ПРОГРАМИ </t>
  </si>
  <si>
    <t>MEDIA ДЕСК СРБИЈЕ - план и програм 2018.</t>
  </si>
  <si>
    <t>MEDIA ДЕСК СРБИЈЕ</t>
  </si>
  <si>
    <t>Стимулације (гледаност, страних дистрибутера домаћег филма у иностранству, дистрибутера домаћег филма, квалитета и приказиваштва)</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</si>
  <si>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</si>
  <si>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</si>
  <si>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 xml:space="preserve">Филмски центар Србије је током 2017. године расписао или намерава да распише конкурсе у 18 конкурсних категорија. Неке од конкурсних категорија биће расписане и два пута у току године. Први пут су расписани и конкурси у категоријама за националну тему и комерцијални репертоарски филм. Све конкурсне категорије биће расписане и у 2018. години. Следеће године биће расписан конкурс за дугометражни анимирани филм који ће бити расписиван једном у три године. У наредној години, по први пут, биће расписан и конкурс за дистрибуцију домаћег филма у иностранству. Почев од 2017. године, а по налогу Државне ревизије, Филмски центар Србије уплаћује  средства добитницима на рачуне отворене код Трезора. За све конкурсне категорије, осим дугметражног играног филма, уплаћују се комплетна средства. За конкурсну категорију дугометражни играни филм добитницима ће се уплаћивати 20% новца, а остатак тек у периоду непосредних припрема. Овакав начин финансирања подразумева вишегодишње планирање средстава, тако да је за следећу годину за плаћање планирано нешто мање од половине новца који ће бити опредељен на пролећном и јесењем конкурсу за дугометражни играни филм. </t>
  </si>
  <si>
    <t xml:space="preserve">Александра Миловановић: ОДНОС ФИЛМСКИХ И ТВ ЖАНРОВА-
 ТРАНСМЕДИJАЛНО ПРИПОВЕДАЊЕ ИЗМЕЂУ ФИЛМА И ТВ
</t>
  </si>
  <si>
    <t>Обим страна: 200</t>
  </si>
  <si>
    <t>БАЛКАН, СТУДИJЕ ФИЛМА И ТЕОРИJА, ИСТОРИJА, КРИТИКА И АНАЛИЗА - зборник</t>
  </si>
  <si>
    <t>Обим страна: 300</t>
  </si>
  <si>
    <t>ЗОМБИ ТЕОРИJЕ  ЗБОРНИК</t>
  </si>
  <si>
    <t>Обим страна: 250</t>
  </si>
  <si>
    <t>Ауторска права</t>
  </si>
  <si>
    <t>КОНФЕРЕНЦИJА О РАНКУ МУНИТИЋУ + ИЗДАВАЊЕ ЗБОРНИКА СА КОНФЕРЕНЦИJЕ</t>
  </si>
  <si>
    <t>Број учесника из региона: 10</t>
  </si>
  <si>
    <t>Трошкови превоза</t>
  </si>
  <si>
    <t>Трошкови смештаја учесника</t>
  </si>
  <si>
    <t>Ауторски хонорари за текстове у књизи (10 x 300ЕУР)</t>
  </si>
  <si>
    <t>Истраживање - ”Родна равноправност у Србији" (за Савет Европе)</t>
  </si>
  <si>
    <t xml:space="preserve">CineLink </t>
  </si>
  <si>
    <t xml:space="preserve">    Наредна година би требало да буде кључна како у раду Филмског центра Србије тако и за целокупни домаћи аудио визуелни сектор који би се позиционирао као један од најважнијих у региону. 
    У протеклих годину и по дана усталили смо редовност конкурса, покренули копродукције, утростручили наше учешће у међународним  организацијама и телима као и наше присуство на престижним међународним фестивалима, успешно спровели уредбу о пореским олакшицама чиме остварујемо све боље резултате за привреду Србије, наше присуство и рад у МЕДИА програму и Еуроимажу су запажени и профитабилни, склопили смо неколико међународних уговора од којих је најважнији онај са француским СNС-ом који ће нам тек отворити врата Европске кинематографије. Све то, као и ранији успеси скренули су пажњу на Србију у Европском контексту и сада се налазимо у ситуцији када је неопходно да направимо одлучујући корак у позиционирању Србије као лидера у домену аудио визуелних делатности у региону  југоисточне Европе.  То посебно има смисла јер је ситуација у окружењу таква да пројекти и стратегија Србије остављају тренутно  утисак најздравијих и најстабилнијих те то треба искористити. 
   Стога је и овогодишњи буџет амбициознији но претходних година, девет десетина је намењено конкурсима, остатак осталим активностима где је посебан акценат стављен на присуство на међународној сцени и на едукативним активностима.  Овако конципираним буџетом са једне стране желимо да очврснемо и стабилизујемо домаћу продукцију (пре но што се усвајањем закона о кинематографији промени начин финансирања целокупног сектора), а са друге стране омогућимо наше позиционирање на међународној сцени. 
</t>
  </si>
  <si>
    <t>Дугометражни анимирани филм</t>
  </si>
  <si>
    <t>Дугометражни документарни филм</t>
  </si>
  <si>
    <t>Краткометражни играни филм</t>
  </si>
  <si>
    <t>Краткометражни анимирани филм</t>
  </si>
  <si>
    <t>Краткометражни документарни филм</t>
  </si>
  <si>
    <t>Експериментални филм и  филмови са захтевним садржајем</t>
  </si>
  <si>
    <t>Директор Филмског центра Србиjе</t>
  </si>
  <si>
    <t xml:space="preserve">                          Бобан Јевтић</t>
  </si>
  <si>
    <t xml:space="preserve">ТОТАЛ ПРОГРАМИ, РЕДОВНА ДЕЛАТНОСТ И ИНВЕСТИЦИЈЕ </t>
  </si>
  <si>
    <t>РСД</t>
  </si>
  <si>
    <t>Конкурс дуговања</t>
  </si>
  <si>
    <t>6.195 EUR (5250 + 18%)</t>
  </si>
  <si>
    <t>Фотограф (хонорар, трошкови превоза, обрада фотографија за брошуру)</t>
  </si>
  <si>
    <t>Дизајн брошуре</t>
  </si>
  <si>
    <t>Годишњи оглас у "Location Guide"</t>
  </si>
  <si>
    <t>4.000 EUR један оглас</t>
  </si>
  <si>
    <t>Исплата накнада за време одуствовања с посла на терет фондова</t>
  </si>
  <si>
    <t>Конкус за оригиналну идеју за дугометражни играни филм који приказује везу између српског и кинеско народа (изабрани пројекат: ”Кинески без муке”, Мирослава Момчиловића)</t>
  </si>
  <si>
    <t>Одлука Покрајинске владе о усвајању Програма обележавања стогодишњице присаједињења Војводине Краљевини Србији 1918-2018. од стране Одбора за Обележавање и додели средстава пројекту Присаједињење 1918, у режији Дарка Бајића а извршне продукције Zillion film DOO из Београда</t>
  </si>
  <si>
    <t>81.600 RSD</t>
  </si>
  <si>
    <t>Трошкови организације, дизајнирања изборног материјала и брендирања конференције за штампу</t>
  </si>
  <si>
    <t>Трошкови секретарских послова</t>
  </si>
  <si>
    <t>Услуге снимања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</si>
</sst>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 &quot;RSD&quot;_);[Red]\(#,##0\ &quot;RSD&quot;\)"/>
  </numFmts>
  <fonts count="2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amily val="2"/>
    </font>
    <font>
      <b/>
      <sz val="12"/>
      <color rgb="FFFF0000"/>
      <name val="Arial Narrow"/>
      <family val="2"/>
    </font>
    <font>
      <b/>
      <sz val="12"/>
      <color indexed="8"/>
      <name val="Arial Narrow"/>
      <family val="2"/>
    </font>
    <font>
      <sz val="12"/>
      <color indexed="8"/>
      <name val="Arial Narrow"/>
      <family val="2"/>
    </font>
    <font>
      <sz val="12"/>
      <name val="Arial Narrow"/>
      <family val="2"/>
    </font>
    <font>
      <sz val="12"/>
      <color indexed="10"/>
      <name val="Arial Narrow"/>
      <family val="2"/>
    </font>
    <font>
      <sz val="12"/>
      <color rgb="FF000000"/>
      <name val="Arial Narrow"/>
      <family val="2"/>
    </font>
    <font>
      <b/>
      <sz val="12"/>
      <name val="Arial Narrow"/>
      <family val="2"/>
    </font>
    <font>
      <sz val="12"/>
      <color rgb="FFFF0000"/>
      <name val="Arial Narrow"/>
      <family val="2"/>
      <charset val="238"/>
    </font>
    <font>
      <b/>
      <sz val="12"/>
      <color theme="1"/>
      <name val="Arial Narrow"/>
      <family val="2"/>
      <charset val="238"/>
    </font>
    <font>
      <b/>
      <i/>
      <sz val="12"/>
      <name val="Arial Narrow"/>
      <family val="2"/>
      <charset val="238"/>
    </font>
    <font>
      <sz val="12"/>
      <color theme="1"/>
      <name val="Calibri"/>
      <family val="2"/>
      <scheme val="minor"/>
    </font>
    <font>
      <b/>
      <sz val="14"/>
      <color theme="1"/>
      <name val="Arial Narrow"/>
      <family val="2"/>
    </font>
    <font>
      <sz val="10"/>
      <name val="Arial"/>
      <family val="2"/>
    </font>
    <font>
      <b/>
      <sz val="14"/>
      <color rgb="FFFF0000"/>
      <name val="Arial Narrow"/>
      <family val="2"/>
    </font>
    <font>
      <b/>
      <sz val="14"/>
      <name val="Arial Narrow"/>
      <family val="2"/>
    </font>
    <font>
      <b/>
      <sz val="13"/>
      <color theme="1"/>
      <name val="Arial Narrow"/>
      <family val="2"/>
    </font>
    <font>
      <b/>
      <sz val="13"/>
      <name val="Arial Narrow"/>
      <family val="2"/>
    </font>
    <font>
      <sz val="12"/>
      <color rgb="FF9C0006"/>
      <name val="Calibri"/>
      <family val="2"/>
      <scheme val="minor"/>
    </font>
    <font>
      <b/>
      <sz val="12"/>
      <color rgb="FF000000"/>
      <name val="Arial Narrow"/>
      <family val="2"/>
      <charset val="23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rgb="FFC0C0C0"/>
        <bgColor rgb="FF000000"/>
      </patternFill>
    </fill>
  </fills>
  <borders count="1">
    <border>
      <left/>
      <right/>
      <top/>
      <bottom/>
      <diagonal/>
    </border>
  </borders>
  <cellStyleXfs count="4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15" fillId="0" borderId="0" applyFont="0" applyFill="0" applyBorder="0" applyAlignment="0" applyProtection="0"/>
    <xf numFmtId="0" fontId="17" fillId="0" borderId="0"/>
    <xf numFmtId="0" fontId="17" fillId="0" borderId="0"/>
    <xf numFmtId="0" fontId="22"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3">
    <xf numFmtId="0" fontId="0" fillId="0" borderId="0" xfId="0"/>
    <xf numFmtId="0" fontId="4" fillId="0" borderId="0" xfId="0" applyFont="1"/>
    <xf numFmtId="0" fontId="4" fillId="0" borderId="0" xfId="0" applyFont="1" applyAlignment="1">
      <alignment wrapText="1"/>
    </xf>
    <xf numFmtId="0" fontId="6" fillId="2" borderId="0" xfId="0" applyFont="1" applyFill="1" applyAlignment="1">
      <alignment horizontal="right" vertical="center" wrapText="1"/>
    </xf>
    <xf numFmtId="0" fontId="6" fillId="2" borderId="0" xfId="0" applyFont="1" applyFill="1" applyAlignment="1">
      <alignment vertical="center" wrapText="1"/>
    </xf>
    <xf numFmtId="0" fontId="7" fillId="0" borderId="0" xfId="0" applyFont="1" applyAlignment="1">
      <alignment wrapText="1"/>
    </xf>
    <xf numFmtId="3" fontId="7" fillId="0" borderId="0" xfId="0" applyNumberFormat="1" applyFont="1" applyAlignment="1">
      <alignment horizontal="right" vertical="center" wrapText="1"/>
    </xf>
    <xf numFmtId="0" fontId="6" fillId="0" borderId="0" xfId="0" applyFont="1" applyAlignment="1">
      <alignment horizontal="right" vertical="center" wrapText="1"/>
    </xf>
    <xf numFmtId="3" fontId="6" fillId="0" borderId="0" xfId="0" applyNumberFormat="1" applyFont="1" applyAlignment="1">
      <alignment horizontal="right" vertical="center" wrapText="1"/>
    </xf>
    <xf numFmtId="0" fontId="7" fillId="0" borderId="0" xfId="0" applyFont="1" applyAlignment="1">
      <alignment vertical="center" wrapText="1"/>
    </xf>
    <xf numFmtId="0" fontId="6" fillId="0" borderId="0" xfId="0" applyFont="1" applyAlignment="1">
      <alignment horizontal="right" vertical="center"/>
    </xf>
    <xf numFmtId="3" fontId="7" fillId="0" borderId="0" xfId="0" applyNumberFormat="1" applyFont="1" applyAlignment="1">
      <alignment wrapText="1"/>
    </xf>
    <xf numFmtId="0" fontId="10" fillId="0" borderId="0" xfId="0" applyFont="1" applyAlignment="1">
      <alignment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vertical="center" wrapText="1"/>
    </xf>
    <xf numFmtId="0" fontId="6" fillId="0" borderId="0" xfId="0" applyFont="1" applyFill="1" applyBorder="1" applyAlignment="1">
      <alignment horizontal="right" vertical="top" wrapText="1"/>
    </xf>
    <xf numFmtId="0" fontId="6" fillId="0" borderId="0" xfId="0" applyFont="1" applyFill="1" applyBorder="1" applyAlignment="1">
      <alignment horizontal="right" vertical="center" wrapText="1"/>
    </xf>
    <xf numFmtId="3" fontId="7" fillId="0" borderId="0" xfId="0" applyNumberFormat="1" applyFont="1" applyAlignment="1">
      <alignment horizontal="left" vertical="top" wrapText="1"/>
    </xf>
    <xf numFmtId="0" fontId="6" fillId="3" borderId="0" xfId="0" applyFont="1" applyFill="1" applyAlignment="1">
      <alignment horizontal="right" vertical="center" wrapText="1"/>
    </xf>
    <xf numFmtId="0" fontId="6" fillId="3" borderId="0" xfId="0" applyFont="1" applyFill="1" applyAlignment="1">
      <alignment vertical="center" wrapText="1"/>
    </xf>
    <xf numFmtId="0" fontId="11" fillId="0" borderId="0" xfId="0" applyFont="1" applyFill="1" applyBorder="1" applyAlignment="1">
      <alignment horizontal="right" vertical="top" wrapText="1"/>
    </xf>
    <xf numFmtId="0" fontId="11" fillId="0" borderId="0" xfId="0" applyFont="1" applyFill="1" applyBorder="1" applyAlignment="1">
      <alignment horizontal="right" vertical="center" wrapText="1"/>
    </xf>
    <xf numFmtId="0" fontId="8" fillId="0" borderId="0" xfId="0" applyFont="1"/>
    <xf numFmtId="0" fontId="8" fillId="0" borderId="0" xfId="0" applyFont="1" applyAlignment="1">
      <alignment vertical="center"/>
    </xf>
    <xf numFmtId="3" fontId="8" fillId="0" borderId="0" xfId="0" applyNumberFormat="1" applyFont="1" applyAlignment="1">
      <alignment horizontal="left" vertical="center" wrapText="1"/>
    </xf>
    <xf numFmtId="164" fontId="7" fillId="0" borderId="0" xfId="0" applyNumberFormat="1" applyFont="1" applyAlignment="1">
      <alignment horizontal="left" vertical="center" wrapText="1"/>
    </xf>
    <xf numFmtId="0" fontId="8" fillId="0" borderId="0" xfId="0" applyFont="1" applyAlignment="1">
      <alignment vertical="center" wrapText="1"/>
    </xf>
    <xf numFmtId="4" fontId="7" fillId="0" borderId="0" xfId="0" applyNumberFormat="1" applyFont="1" applyAlignment="1">
      <alignment wrapText="1"/>
    </xf>
    <xf numFmtId="4" fontId="7" fillId="0" borderId="0" xfId="0" applyNumberFormat="1" applyFont="1" applyAlignment="1">
      <alignment horizontal="right" vertical="center" wrapText="1"/>
    </xf>
    <xf numFmtId="4" fontId="7" fillId="0" borderId="0" xfId="0" applyNumberFormat="1" applyFont="1"/>
    <xf numFmtId="4" fontId="6" fillId="0" borderId="0" xfId="0" applyNumberFormat="1" applyFont="1" applyAlignment="1">
      <alignment horizontal="right" vertical="center" wrapText="1"/>
    </xf>
    <xf numFmtId="4" fontId="7" fillId="2" borderId="0" xfId="0" applyNumberFormat="1" applyFont="1" applyFill="1" applyAlignment="1">
      <alignment vertical="center"/>
    </xf>
    <xf numFmtId="4" fontId="6" fillId="2" borderId="0" xfId="0" applyNumberFormat="1" applyFont="1" applyFill="1" applyAlignment="1">
      <alignment vertical="center" wrapText="1"/>
    </xf>
    <xf numFmtId="4" fontId="12" fillId="0" borderId="0" xfId="0" applyNumberFormat="1" applyFont="1" applyAlignment="1">
      <alignment wrapText="1"/>
    </xf>
    <xf numFmtId="4" fontId="8" fillId="0" borderId="0" xfId="0" applyNumberFormat="1" applyFont="1" applyAlignment="1">
      <alignment horizontal="right" vertical="center" wrapText="1"/>
    </xf>
    <xf numFmtId="4" fontId="9" fillId="0" borderId="0" xfId="0" applyNumberFormat="1" applyFont="1" applyAlignment="1">
      <alignment wrapText="1"/>
    </xf>
    <xf numFmtId="4" fontId="7" fillId="0" borderId="0" xfId="0" applyNumberFormat="1" applyFont="1" applyAlignment="1">
      <alignment vertical="center" wrapText="1"/>
    </xf>
    <xf numFmtId="4" fontId="11" fillId="0" borderId="0" xfId="0" applyNumberFormat="1" applyFont="1" applyAlignment="1">
      <alignment horizontal="right" vertical="center" wrapText="1"/>
    </xf>
    <xf numFmtId="4" fontId="4" fillId="0" borderId="0" xfId="0" applyNumberFormat="1" applyFont="1"/>
    <xf numFmtId="4" fontId="6" fillId="0" borderId="0" xfId="0" applyNumberFormat="1" applyFont="1" applyFill="1" applyBorder="1" applyAlignment="1">
      <alignment vertical="center" wrapText="1"/>
    </xf>
    <xf numFmtId="4" fontId="6" fillId="0" borderId="0" xfId="0" applyNumberFormat="1" applyFont="1" applyFill="1" applyBorder="1" applyAlignment="1">
      <alignment horizontal="right" vertical="top" wrapText="1"/>
    </xf>
    <xf numFmtId="4" fontId="8" fillId="0" borderId="0" xfId="0" applyNumberFormat="1" applyFont="1" applyAlignment="1">
      <alignment wrapText="1"/>
    </xf>
    <xf numFmtId="4" fontId="8" fillId="0" borderId="0" xfId="0" applyNumberFormat="1" applyFont="1"/>
    <xf numFmtId="4" fontId="6" fillId="0" borderId="0" xfId="0" applyNumberFormat="1" applyFont="1" applyFill="1" applyAlignment="1">
      <alignment vertical="top" wrapText="1"/>
    </xf>
    <xf numFmtId="4" fontId="6" fillId="3" borderId="0" xfId="0" applyNumberFormat="1" applyFont="1" applyFill="1" applyAlignment="1">
      <alignment vertical="top" wrapText="1"/>
    </xf>
    <xf numFmtId="4" fontId="4" fillId="3" borderId="0" xfId="0" applyNumberFormat="1" applyFont="1" applyFill="1"/>
    <xf numFmtId="4" fontId="12" fillId="0" borderId="0" xfId="0" applyNumberFormat="1" applyFont="1"/>
    <xf numFmtId="0" fontId="5" fillId="2" borderId="0" xfId="0" applyFont="1" applyFill="1" applyAlignment="1">
      <alignment horizontal="right" vertical="center" wrapText="1"/>
    </xf>
    <xf numFmtId="0" fontId="5" fillId="2" borderId="0" xfId="0" applyFont="1" applyFill="1" applyAlignment="1">
      <alignment vertical="center" wrapText="1"/>
    </xf>
    <xf numFmtId="4" fontId="5" fillId="2" borderId="0" xfId="0" applyNumberFormat="1" applyFont="1" applyFill="1" applyAlignment="1">
      <alignment vertical="center" wrapText="1"/>
    </xf>
    <xf numFmtId="0" fontId="11" fillId="0" borderId="0" xfId="0" applyFont="1" applyAlignment="1">
      <alignment horizontal="right" vertical="center"/>
    </xf>
    <xf numFmtId="0" fontId="8" fillId="0" borderId="0" xfId="0" applyFont="1" applyAlignment="1">
      <alignment wrapText="1"/>
    </xf>
    <xf numFmtId="3" fontId="7" fillId="0" borderId="0" xfId="0" applyNumberFormat="1" applyFont="1" applyAlignment="1">
      <alignment vertical="center" wrapText="1"/>
    </xf>
    <xf numFmtId="3" fontId="8" fillId="0" borderId="0" xfId="0" applyNumberFormat="1" applyFont="1" applyAlignment="1">
      <alignment wrapText="1"/>
    </xf>
    <xf numFmtId="3" fontId="8" fillId="0" borderId="0" xfId="0" applyNumberFormat="1" applyFont="1" applyAlignment="1">
      <alignment vertical="center" wrapText="1"/>
    </xf>
    <xf numFmtId="164" fontId="4" fillId="0" borderId="0" xfId="0" applyNumberFormat="1" applyFont="1" applyAlignment="1">
      <alignment horizontal="left" wrapText="1"/>
    </xf>
    <xf numFmtId="4" fontId="11" fillId="0" borderId="0" xfId="0" applyNumberFormat="1" applyFont="1" applyAlignment="1">
      <alignment wrapText="1"/>
    </xf>
    <xf numFmtId="4" fontId="13" fillId="4" borderId="0" xfId="0" applyNumberFormat="1" applyFont="1" applyFill="1" applyAlignment="1">
      <alignment wrapText="1"/>
    </xf>
    <xf numFmtId="0" fontId="11" fillId="0" borderId="0" xfId="0" applyFont="1" applyAlignment="1">
      <alignment horizontal="right" vertical="top" wrapText="1"/>
    </xf>
    <xf numFmtId="0" fontId="11" fillId="2" borderId="0" xfId="0" applyFont="1" applyFill="1" applyAlignment="1">
      <alignment horizontal="right" vertical="center" wrapText="1"/>
    </xf>
    <xf numFmtId="0" fontId="11" fillId="2" borderId="0" xfId="0" applyFont="1" applyFill="1" applyAlignment="1">
      <alignment vertical="center" wrapText="1"/>
    </xf>
    <xf numFmtId="4" fontId="8" fillId="2" borderId="0" xfId="0" applyNumberFormat="1" applyFont="1" applyFill="1" applyAlignment="1">
      <alignment vertical="center"/>
    </xf>
    <xf numFmtId="4" fontId="11" fillId="2" borderId="0" xfId="0" applyNumberFormat="1" applyFont="1" applyFill="1" applyAlignment="1">
      <alignment vertical="center" wrapText="1"/>
    </xf>
    <xf numFmtId="4" fontId="8" fillId="0" borderId="0" xfId="0" applyNumberFormat="1" applyFont="1" applyAlignment="1">
      <alignment vertical="center" wrapText="1"/>
    </xf>
    <xf numFmtId="3" fontId="11" fillId="0" borderId="0" xfId="0" applyNumberFormat="1" applyFont="1" applyAlignment="1">
      <alignment horizontal="right" vertical="center" wrapText="1"/>
    </xf>
    <xf numFmtId="4" fontId="8" fillId="4" borderId="0" xfId="0" applyNumberFormat="1" applyFont="1" applyFill="1"/>
    <xf numFmtId="0" fontId="13" fillId="4" borderId="0" xfId="0" applyFont="1" applyFill="1" applyAlignment="1">
      <alignment horizontal="right" wrapText="1"/>
    </xf>
    <xf numFmtId="0" fontId="8" fillId="0" borderId="0" xfId="0" applyFont="1" applyFill="1" applyBorder="1" applyAlignment="1">
      <alignment horizontal="left" vertical="top" wrapText="1"/>
    </xf>
    <xf numFmtId="0" fontId="13" fillId="0" borderId="0" xfId="0" applyFont="1"/>
    <xf numFmtId="4" fontId="16" fillId="0" borderId="0" xfId="0" applyNumberFormat="1" applyFont="1"/>
    <xf numFmtId="3" fontId="11" fillId="0" borderId="0" xfId="458" applyNumberFormat="1" applyFont="1" applyFill="1" applyBorder="1" applyAlignment="1">
      <alignment horizontal="left" vertical="center"/>
    </xf>
    <xf numFmtId="49" fontId="11" fillId="0" borderId="0" xfId="458" applyNumberFormat="1" applyFont="1" applyFill="1" applyBorder="1" applyAlignment="1">
      <alignment horizontal="center" vertical="center" wrapText="1"/>
    </xf>
    <xf numFmtId="3" fontId="11" fillId="0" borderId="0" xfId="458" applyNumberFormat="1" applyFont="1" applyFill="1" applyBorder="1" applyAlignment="1">
      <alignment horizontal="center" vertical="center"/>
    </xf>
    <xf numFmtId="3" fontId="11" fillId="0" borderId="0" xfId="458" applyNumberFormat="1" applyFont="1" applyFill="1" applyBorder="1" applyAlignment="1">
      <alignment horizontal="center" vertical="center" wrapText="1"/>
    </xf>
    <xf numFmtId="3" fontId="11" fillId="0" borderId="0" xfId="458" applyNumberFormat="1" applyFont="1" applyFill="1" applyBorder="1" applyAlignment="1">
      <alignment vertical="center" wrapText="1"/>
    </xf>
    <xf numFmtId="3" fontId="11" fillId="0" borderId="0" xfId="459" applyNumberFormat="1" applyFont="1" applyFill="1" applyBorder="1" applyAlignment="1">
      <alignment vertical="center"/>
    </xf>
    <xf numFmtId="0" fontId="8" fillId="0" borderId="0" xfId="458" applyFont="1" applyFill="1" applyBorder="1" applyAlignment="1">
      <alignment horizontal="left" vertical="center" wrapText="1"/>
    </xf>
    <xf numFmtId="0" fontId="8" fillId="0" borderId="0" xfId="458" applyFont="1" applyFill="1" applyBorder="1" applyAlignment="1">
      <alignment vertical="center" wrapText="1"/>
    </xf>
    <xf numFmtId="0" fontId="8" fillId="0" borderId="0" xfId="458" applyFont="1" applyFill="1" applyBorder="1" applyAlignment="1">
      <alignment vertical="center"/>
    </xf>
    <xf numFmtId="0" fontId="11" fillId="0" borderId="0" xfId="458" applyFont="1" applyFill="1" applyBorder="1" applyAlignment="1">
      <alignment vertical="center"/>
    </xf>
    <xf numFmtId="0" fontId="11" fillId="0" borderId="0" xfId="458" applyFont="1" applyFill="1" applyBorder="1" applyAlignment="1">
      <alignment vertical="center" wrapText="1"/>
    </xf>
    <xf numFmtId="0" fontId="8" fillId="3" borderId="0" xfId="458" applyFont="1" applyFill="1" applyBorder="1" applyAlignment="1">
      <alignment vertical="center" wrapText="1"/>
    </xf>
    <xf numFmtId="0" fontId="11" fillId="0" borderId="0" xfId="0" applyFont="1" applyFill="1" applyBorder="1" applyAlignment="1"/>
    <xf numFmtId="0" fontId="8" fillId="0" borderId="0" xfId="0" applyFont="1" applyFill="1" applyBorder="1" applyAlignment="1"/>
    <xf numFmtId="0" fontId="16" fillId="0" borderId="0" xfId="0" applyFont="1" applyFill="1" applyAlignment="1">
      <alignment horizontal="right" vertical="center"/>
    </xf>
    <xf numFmtId="0" fontId="18" fillId="0" borderId="0" xfId="0" applyFont="1" applyAlignment="1"/>
    <xf numFmtId="0" fontId="19" fillId="0" borderId="0" xfId="0" applyFont="1" applyAlignment="1"/>
    <xf numFmtId="4" fontId="8" fillId="0" borderId="0" xfId="459" applyNumberFormat="1" applyFont="1" applyFill="1" applyBorder="1" applyAlignment="1" applyProtection="1">
      <alignment vertical="center"/>
      <protection locked="0"/>
    </xf>
    <xf numFmtId="4" fontId="11" fillId="0" borderId="0" xfId="459" applyNumberFormat="1" applyFont="1" applyFill="1" applyBorder="1" applyAlignment="1">
      <alignment vertical="center"/>
    </xf>
    <xf numFmtId="4" fontId="11" fillId="0" borderId="0" xfId="459" applyNumberFormat="1" applyFont="1" applyFill="1" applyBorder="1" applyAlignment="1" applyProtection="1">
      <alignment vertical="center"/>
    </xf>
    <xf numFmtId="4" fontId="5" fillId="0" borderId="0" xfId="0" applyNumberFormat="1" applyFont="1"/>
    <xf numFmtId="4" fontId="8" fillId="3" borderId="0" xfId="459" applyNumberFormat="1" applyFont="1" applyFill="1" applyBorder="1" applyAlignment="1" applyProtection="1">
      <alignment vertical="center"/>
      <protection locked="0"/>
    </xf>
    <xf numFmtId="4" fontId="8" fillId="0" borderId="0" xfId="0" applyNumberFormat="1" applyFont="1" applyFill="1" applyBorder="1" applyAlignment="1">
      <alignment horizontal="left"/>
    </xf>
    <xf numFmtId="4" fontId="8" fillId="0" borderId="0" xfId="0" applyNumberFormat="1" applyFont="1" applyFill="1" applyBorder="1" applyAlignment="1"/>
    <xf numFmtId="4" fontId="4" fillId="0" borderId="0" xfId="0" applyNumberFormat="1" applyFont="1" applyFill="1"/>
    <xf numFmtId="4" fontId="16" fillId="0" borderId="0" xfId="0" applyNumberFormat="1" applyFont="1" applyFill="1"/>
    <xf numFmtId="4" fontId="5" fillId="0" borderId="0" xfId="457" applyNumberFormat="1" applyFont="1"/>
    <xf numFmtId="0" fontId="20" fillId="0" borderId="0" xfId="0" applyFont="1" applyAlignment="1">
      <alignment wrapText="1"/>
    </xf>
    <xf numFmtId="0" fontId="21" fillId="0" borderId="0" xfId="0" applyFont="1" applyFill="1" applyAlignment="1">
      <alignment horizontal="right" vertical="center"/>
    </xf>
    <xf numFmtId="4" fontId="21" fillId="0" borderId="0" xfId="458" applyNumberFormat="1" applyFont="1" applyFill="1" applyBorder="1" applyAlignment="1">
      <alignment vertical="center"/>
    </xf>
    <xf numFmtId="0" fontId="11" fillId="0" borderId="0" xfId="0" applyFont="1" applyAlignment="1">
      <alignment vertical="center"/>
    </xf>
    <xf numFmtId="0" fontId="11" fillId="4" borderId="0" xfId="0" applyFont="1" applyFill="1" applyAlignment="1">
      <alignment horizontal="right" wrapText="1"/>
    </xf>
    <xf numFmtId="4" fontId="11" fillId="4" borderId="0" xfId="0" applyNumberFormat="1" applyFont="1" applyFill="1" applyAlignment="1">
      <alignment wrapText="1"/>
    </xf>
    <xf numFmtId="0" fontId="13" fillId="0" borderId="0" xfId="0" applyFont="1" applyFill="1" applyAlignment="1">
      <alignment horizontal="left" vertical="center"/>
    </xf>
    <xf numFmtId="4" fontId="13" fillId="0" borderId="0" xfId="0" applyNumberFormat="1" applyFont="1" applyFill="1"/>
    <xf numFmtId="0" fontId="13" fillId="3" borderId="0" xfId="0" applyFont="1" applyFill="1" applyAlignment="1">
      <alignment horizontal="left" vertical="center"/>
    </xf>
    <xf numFmtId="4" fontId="13" fillId="3" borderId="0" xfId="0" applyNumberFormat="1" applyFont="1" applyFill="1"/>
    <xf numFmtId="4" fontId="8" fillId="0" borderId="0" xfId="460" applyNumberFormat="1" applyFont="1" applyFill="1" applyAlignment="1">
      <alignment horizontal="right" vertical="center" wrapText="1"/>
    </xf>
    <xf numFmtId="4" fontId="8" fillId="0" borderId="0" xfId="0" applyNumberFormat="1" applyFont="1" applyFill="1" applyAlignment="1">
      <alignment horizontal="right" vertical="center" wrapText="1"/>
    </xf>
    <xf numFmtId="0" fontId="8" fillId="0" borderId="0" xfId="0" applyFont="1" applyFill="1" applyAlignment="1">
      <alignment vertical="center"/>
    </xf>
    <xf numFmtId="0" fontId="8" fillId="0" borderId="0" xfId="460" applyFont="1" applyFill="1" applyAlignment="1">
      <alignment vertical="center"/>
    </xf>
    <xf numFmtId="0" fontId="8" fillId="0" borderId="0" xfId="460" applyFont="1" applyFill="1" applyAlignment="1">
      <alignment vertical="center" wrapText="1"/>
    </xf>
    <xf numFmtId="0" fontId="23" fillId="0" borderId="0" xfId="0" applyFont="1"/>
    <xf numFmtId="0" fontId="10" fillId="0" borderId="0" xfId="0" applyFont="1"/>
    <xf numFmtId="0" fontId="10" fillId="0" borderId="0" xfId="0" applyFont="1" applyAlignment="1">
      <alignment wrapText="1"/>
    </xf>
    <xf numFmtId="4" fontId="10" fillId="0" borderId="0" xfId="0" applyNumberFormat="1" applyFont="1"/>
    <xf numFmtId="0" fontId="11" fillId="6" borderId="0" xfId="0" applyFont="1" applyFill="1" applyAlignment="1">
      <alignment horizontal="right" vertical="center" wrapText="1"/>
    </xf>
    <xf numFmtId="0" fontId="11" fillId="6" borderId="0" xfId="0" applyFont="1" applyFill="1" applyAlignment="1">
      <alignment vertical="center" wrapText="1"/>
    </xf>
    <xf numFmtId="4" fontId="8" fillId="6" borderId="0" xfId="0" applyNumberFormat="1" applyFont="1" applyFill="1" applyAlignment="1">
      <alignment vertical="center"/>
    </xf>
    <xf numFmtId="4" fontId="11" fillId="6" borderId="0" xfId="0" applyNumberFormat="1" applyFont="1" applyFill="1" applyAlignment="1">
      <alignment vertical="center" wrapText="1"/>
    </xf>
    <xf numFmtId="0" fontId="23" fillId="0" borderId="0" xfId="0" applyFont="1" applyAlignment="1">
      <alignment wrapText="1"/>
    </xf>
    <xf numFmtId="0" fontId="23" fillId="0" borderId="0" xfId="0" applyFont="1" applyAlignment="1"/>
    <xf numFmtId="0" fontId="4" fillId="0" borderId="0" xfId="0" applyFont="1" applyAlignment="1">
      <alignment horizontal="center" wrapText="1"/>
    </xf>
    <xf numFmtId="0" fontId="6" fillId="0" borderId="0" xfId="0" applyFont="1" applyAlignment="1">
      <alignment vertical="center" wrapText="1"/>
    </xf>
    <xf numFmtId="0" fontId="11" fillId="0" borderId="0" xfId="0" applyFont="1" applyAlignment="1">
      <alignment vertical="center" wrapText="1"/>
    </xf>
    <xf numFmtId="0" fontId="7" fillId="0" borderId="0" xfId="0" applyFont="1" applyFill="1" applyAlignment="1">
      <alignment wrapText="1"/>
    </xf>
    <xf numFmtId="3" fontId="8" fillId="0" borderId="0" xfId="0" applyNumberFormat="1" applyFont="1" applyFill="1" applyAlignment="1">
      <alignment vertical="center" wrapText="1"/>
    </xf>
    <xf numFmtId="0" fontId="8" fillId="0" borderId="0" xfId="0" applyFont="1" applyFill="1" applyAlignment="1">
      <alignment vertical="center" wrapText="1"/>
    </xf>
    <xf numFmtId="4" fontId="8" fillId="0" borderId="0" xfId="0" applyNumberFormat="1" applyFont="1" applyFill="1" applyAlignment="1">
      <alignment wrapText="1"/>
    </xf>
    <xf numFmtId="0" fontId="12" fillId="0" borderId="0" xfId="0" applyFont="1" applyFill="1" applyAlignment="1">
      <alignment wrapText="1"/>
    </xf>
    <xf numFmtId="0" fontId="8" fillId="0" borderId="0" xfId="0" applyFont="1" applyFill="1" applyAlignment="1">
      <alignment wrapText="1"/>
    </xf>
    <xf numFmtId="4" fontId="11" fillId="0" borderId="0" xfId="0" applyNumberFormat="1" applyFont="1" applyFill="1" applyAlignment="1">
      <alignment horizontal="right" vertical="center" wrapText="1"/>
    </xf>
    <xf numFmtId="0" fontId="11" fillId="0" borderId="0" xfId="0" applyFont="1" applyFill="1" applyAlignment="1">
      <alignment vertical="center" wrapText="1"/>
    </xf>
    <xf numFmtId="0" fontId="14" fillId="0" borderId="0" xfId="0" applyFont="1" applyFill="1" applyAlignment="1">
      <alignment vertical="center" wrapText="1"/>
    </xf>
    <xf numFmtId="0" fontId="11" fillId="0" borderId="0" xfId="0" applyFont="1" applyFill="1" applyAlignment="1">
      <alignment horizontal="right" vertical="top" wrapText="1"/>
    </xf>
    <xf numFmtId="4" fontId="7" fillId="0" borderId="0" xfId="0" applyNumberFormat="1" applyFont="1" applyFill="1" applyAlignment="1">
      <alignment wrapText="1"/>
    </xf>
    <xf numFmtId="0" fontId="7" fillId="0" borderId="0" xfId="0" applyFont="1" applyFill="1" applyAlignment="1">
      <alignment vertical="center" wrapText="1"/>
    </xf>
    <xf numFmtId="0" fontId="4" fillId="0" borderId="0" xfId="0" applyFont="1" applyFill="1" applyAlignment="1">
      <alignment wrapText="1"/>
    </xf>
    <xf numFmtId="4" fontId="7" fillId="0" borderId="0" xfId="0" applyNumberFormat="1" applyFont="1" applyFill="1" applyAlignment="1">
      <alignment horizontal="right" vertical="center" wrapText="1"/>
    </xf>
    <xf numFmtId="4" fontId="6" fillId="0" borderId="0" xfId="0" applyNumberFormat="1" applyFont="1" applyFill="1" applyAlignment="1">
      <alignment horizontal="right" vertical="center" wrapText="1"/>
    </xf>
    <xf numFmtId="0" fontId="6" fillId="0" borderId="0" xfId="0" applyFont="1" applyAlignment="1">
      <alignment wrapText="1"/>
    </xf>
    <xf numFmtId="4" fontId="7" fillId="2" borderId="0" xfId="0" applyNumberFormat="1" applyFont="1" applyFill="1" applyAlignment="1">
      <alignment vertical="center" wrapText="1"/>
    </xf>
    <xf numFmtId="4" fontId="12" fillId="0" borderId="0" xfId="0" applyNumberFormat="1" applyFont="1" applyFill="1" applyAlignment="1">
      <alignment wrapText="1"/>
    </xf>
    <xf numFmtId="4" fontId="4" fillId="0" borderId="0" xfId="0" applyNumberFormat="1" applyFont="1" applyAlignment="1">
      <alignment wrapText="1"/>
    </xf>
    <xf numFmtId="4" fontId="8" fillId="0" borderId="0" xfId="0" applyNumberFormat="1" applyFont="1" applyBorder="1" applyAlignment="1">
      <alignment wrapText="1"/>
    </xf>
    <xf numFmtId="0" fontId="11" fillId="0" borderId="0" xfId="0" applyFont="1" applyAlignment="1">
      <alignment horizontal="right" vertical="center" wrapText="1"/>
    </xf>
    <xf numFmtId="4" fontId="12" fillId="2" borderId="0" xfId="0" applyNumberFormat="1" applyFont="1" applyFill="1" applyAlignment="1">
      <alignment vertical="center" wrapText="1"/>
    </xf>
    <xf numFmtId="0" fontId="11" fillId="0" borderId="0" xfId="0" applyFont="1" applyFill="1" applyAlignment="1">
      <alignment horizontal="right" vertical="center" wrapText="1"/>
    </xf>
    <xf numFmtId="0" fontId="6" fillId="0" borderId="0" xfId="0" applyFont="1" applyFill="1" applyAlignment="1">
      <alignment horizontal="right" vertical="center" wrapText="1"/>
    </xf>
    <xf numFmtId="4" fontId="7" fillId="0" borderId="0" xfId="0" applyNumberFormat="1" applyFont="1" applyFill="1" applyBorder="1" applyAlignment="1">
      <alignment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4" fontId="7" fillId="0" borderId="0" xfId="0" applyNumberFormat="1" applyFont="1" applyFill="1" applyAlignment="1">
      <alignment vertical="center" wrapText="1"/>
    </xf>
    <xf numFmtId="4" fontId="7" fillId="3" borderId="0" xfId="0" applyNumberFormat="1" applyFont="1" applyFill="1" applyAlignment="1">
      <alignment vertical="center" wrapText="1"/>
    </xf>
    <xf numFmtId="4" fontId="8" fillId="0" borderId="0" xfId="0" applyNumberFormat="1" applyFont="1" applyAlignment="1">
      <alignment horizontal="right" vertical="top" wrapText="1"/>
    </xf>
    <xf numFmtId="4" fontId="11" fillId="0" borderId="0" xfId="0" applyNumberFormat="1" applyFont="1" applyFill="1" applyAlignment="1">
      <alignment wrapText="1"/>
    </xf>
    <xf numFmtId="0" fontId="4" fillId="3" borderId="0" xfId="0" applyFont="1" applyFill="1" applyAlignment="1">
      <alignment wrapText="1"/>
    </xf>
    <xf numFmtId="4" fontId="4" fillId="3" borderId="0" xfId="0" applyNumberFormat="1" applyFont="1" applyFill="1" applyAlignment="1">
      <alignment wrapText="1"/>
    </xf>
    <xf numFmtId="0" fontId="8" fillId="0" borderId="0" xfId="0" applyFont="1" applyFill="1" applyAlignment="1">
      <alignment horizontal="left" wrapText="1"/>
    </xf>
    <xf numFmtId="4" fontId="4" fillId="4" borderId="0" xfId="0" applyNumberFormat="1" applyFont="1" applyFill="1" applyAlignment="1">
      <alignment wrapText="1"/>
    </xf>
    <xf numFmtId="0" fontId="8" fillId="2" borderId="0" xfId="0" applyFont="1" applyFill="1" applyAlignment="1">
      <alignment horizontal="left" vertical="top" wrapText="1"/>
    </xf>
    <xf numFmtId="0" fontId="8" fillId="0" borderId="0" xfId="0" applyFont="1" applyAlignment="1">
      <alignment horizontal="left" vertical="top"/>
    </xf>
    <xf numFmtId="3" fontId="11" fillId="3" borderId="0" xfId="0" applyNumberFormat="1" applyFont="1" applyFill="1" applyAlignment="1">
      <alignment horizontal="center" vertical="center" wrapText="1"/>
    </xf>
    <xf numFmtId="0" fontId="11" fillId="0" borderId="0" xfId="0" applyFont="1" applyAlignment="1">
      <alignment vertical="center"/>
    </xf>
    <xf numFmtId="0" fontId="8" fillId="2" borderId="0" xfId="0" applyFont="1" applyFill="1" applyAlignment="1">
      <alignment vertical="top" wrapText="1"/>
    </xf>
    <xf numFmtId="0" fontId="8" fillId="0" borderId="0" xfId="0" applyFont="1" applyAlignment="1">
      <alignment vertical="top"/>
    </xf>
    <xf numFmtId="0" fontId="8" fillId="3" borderId="0" xfId="0" applyFont="1" applyFill="1" applyAlignment="1">
      <alignment horizontal="left" vertical="top" wrapText="1"/>
    </xf>
    <xf numFmtId="0" fontId="8" fillId="0" borderId="0" xfId="0" applyFont="1" applyAlignment="1"/>
    <xf numFmtId="0" fontId="19" fillId="0" borderId="0" xfId="0" applyFont="1" applyAlignment="1">
      <alignment horizontal="center"/>
    </xf>
    <xf numFmtId="0" fontId="7" fillId="2" borderId="0" xfId="0" applyFont="1" applyFill="1" applyAlignment="1">
      <alignment horizontal="left" vertical="center" wrapText="1"/>
    </xf>
    <xf numFmtId="0" fontId="4"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7" fillId="3" borderId="0" xfId="0" applyFont="1" applyFill="1" applyAlignment="1">
      <alignment horizontal="left" vertical="center" wrapText="1"/>
    </xf>
    <xf numFmtId="0" fontId="11" fillId="3" borderId="0" xfId="0" applyFont="1" applyFill="1" applyAlignment="1">
      <alignment horizontal="left" vertical="top" wrapText="1"/>
    </xf>
    <xf numFmtId="0" fontId="4" fillId="3" borderId="0" xfId="0" applyFont="1" applyFill="1" applyAlignment="1">
      <alignment horizontal="center" wrapText="1"/>
    </xf>
    <xf numFmtId="0" fontId="6" fillId="0" borderId="0" xfId="0" applyFont="1" applyAlignment="1">
      <alignment vertical="center" wrapText="1"/>
    </xf>
    <xf numFmtId="0" fontId="7" fillId="2" borderId="0" xfId="0" applyFont="1" applyFill="1" applyAlignment="1">
      <alignment vertical="top" wrapText="1"/>
    </xf>
    <xf numFmtId="0" fontId="4" fillId="0" borderId="0" xfId="0" applyFont="1" applyAlignment="1">
      <alignment vertical="top" wrapText="1"/>
    </xf>
    <xf numFmtId="0" fontId="7" fillId="2" borderId="0" xfId="0" applyFont="1" applyFill="1" applyAlignment="1">
      <alignment horizontal="left" vertical="top" wrapText="1"/>
    </xf>
    <xf numFmtId="0" fontId="4" fillId="0" borderId="0" xfId="0" applyFont="1" applyAlignment="1">
      <alignment horizontal="left" vertical="top" wrapText="1"/>
    </xf>
    <xf numFmtId="0" fontId="6" fillId="3" borderId="0" xfId="0" applyFont="1" applyFill="1" applyBorder="1" applyAlignment="1">
      <alignment horizontal="center" vertical="top" wrapText="1"/>
    </xf>
    <xf numFmtId="0" fontId="11" fillId="0" borderId="0" xfId="0" applyFont="1" applyAlignment="1">
      <alignment vertical="center" wrapText="1"/>
    </xf>
    <xf numFmtId="0" fontId="12" fillId="2" borderId="0" xfId="0" applyFont="1" applyFill="1" applyAlignment="1">
      <alignment vertical="top" wrapText="1"/>
    </xf>
    <xf numFmtId="0" fontId="12" fillId="0" borderId="0" xfId="0" applyFont="1" applyAlignment="1">
      <alignment vertical="top" wrapText="1"/>
    </xf>
    <xf numFmtId="0" fontId="8" fillId="3" borderId="0" xfId="0" applyFont="1" applyFill="1" applyAlignment="1">
      <alignment vertical="top" wrapText="1"/>
    </xf>
    <xf numFmtId="0" fontId="7" fillId="2" borderId="0" xfId="0" applyFont="1" applyFill="1" applyAlignment="1" applyProtection="1">
      <alignment vertical="top" wrapText="1"/>
      <protection locked="0"/>
    </xf>
    <xf numFmtId="0" fontId="4" fillId="3" borderId="0" xfId="0" applyFont="1" applyFill="1" applyAlignment="1">
      <alignment wrapText="1"/>
    </xf>
    <xf numFmtId="0" fontId="8" fillId="0" borderId="0" xfId="0" applyFont="1" applyAlignment="1">
      <alignment wrapText="1"/>
    </xf>
    <xf numFmtId="0" fontId="0" fillId="0" borderId="0" xfId="0" applyAlignment="1">
      <alignment horizontal="left" vertical="top" wrapText="1"/>
    </xf>
    <xf numFmtId="0" fontId="8" fillId="3" borderId="0" xfId="0" applyFont="1" applyFill="1" applyAlignment="1">
      <alignment wrapText="1"/>
    </xf>
  </cellXfs>
  <cellStyles count="487">
    <cellStyle name="Bad" xfId="460" builtinId="27"/>
    <cellStyle name="Comma" xfId="45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Normal" xfId="0" builtinId="0"/>
    <cellStyle name="Normal_1" xfId="459"/>
    <cellStyle name="Normal_UNOS08ust" xfId="45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7"/>
  <sheetViews>
    <sheetView tabSelected="1" view="pageLayout" topLeftCell="A182" zoomScaleSheetLayoutView="100" workbookViewId="0">
      <selection activeCell="A195" sqref="A195"/>
    </sheetView>
  </sheetViews>
  <sheetFormatPr baseColWidth="10" defaultColWidth="8.83203125" defaultRowHeight="16" x14ac:dyDescent="0.2"/>
  <cols>
    <col min="1" max="1" width="94.33203125" style="1" customWidth="1"/>
    <col min="2" max="2" width="40" style="2" customWidth="1"/>
    <col min="3" max="3" width="13.5" style="40" customWidth="1"/>
    <col min="4" max="4" width="23.33203125" style="40" customWidth="1"/>
    <col min="5" max="5" width="14.6640625" style="1" hidden="1" customWidth="1"/>
    <col min="6" max="6" width="9" style="1" hidden="1" customWidth="1"/>
    <col min="7" max="7" width="0.5" style="1" hidden="1" customWidth="1"/>
    <col min="8" max="9" width="9" style="1" hidden="1" customWidth="1"/>
    <col min="10" max="10" width="12.83203125" style="1" bestFit="1" customWidth="1"/>
    <col min="11" max="11" width="10.33203125" style="1" bestFit="1" customWidth="1"/>
    <col min="12" max="12" width="10.83203125" style="1" bestFit="1" customWidth="1"/>
    <col min="13" max="13" width="9.1640625" style="1" bestFit="1" customWidth="1"/>
    <col min="14" max="16384" width="8.83203125" style="1"/>
  </cols>
  <sheetData>
    <row r="1" spans="1:4" ht="18" x14ac:dyDescent="0.2">
      <c r="A1" s="170" t="s">
        <v>452</v>
      </c>
      <c r="B1" s="170"/>
      <c r="C1" s="170"/>
    </row>
    <row r="2" spans="1:4" ht="18" x14ac:dyDescent="0.2">
      <c r="A2" s="88"/>
      <c r="B2" s="88"/>
      <c r="C2" s="88"/>
    </row>
    <row r="3" spans="1:4" ht="18" x14ac:dyDescent="0.2">
      <c r="A3" s="170" t="s">
        <v>453</v>
      </c>
      <c r="B3" s="170"/>
      <c r="C3" s="170"/>
    </row>
    <row r="4" spans="1:4" ht="18" x14ac:dyDescent="0.2">
      <c r="A4" s="87"/>
      <c r="B4" s="87"/>
      <c r="C4" s="87"/>
    </row>
    <row r="5" spans="1:4" ht="175" customHeight="1" x14ac:dyDescent="0.2">
      <c r="A5" s="173" t="s">
        <v>479</v>
      </c>
      <c r="B5" s="173"/>
      <c r="C5" s="173"/>
      <c r="D5" s="173"/>
    </row>
    <row r="6" spans="1:4" ht="15.75" customHeight="1" x14ac:dyDescent="0.2">
      <c r="A6" s="70" t="s">
        <v>355</v>
      </c>
    </row>
    <row r="7" spans="1:4" ht="98.25" customHeight="1" x14ac:dyDescent="0.2">
      <c r="A7" s="171" t="s">
        <v>464</v>
      </c>
      <c r="B7" s="172"/>
      <c r="C7" s="172"/>
      <c r="D7" s="172"/>
    </row>
    <row r="8" spans="1:4" x14ac:dyDescent="0.2">
      <c r="A8" s="25" t="s">
        <v>348</v>
      </c>
      <c r="B8" s="5"/>
      <c r="C8" s="109">
        <v>195000000</v>
      </c>
      <c r="D8" s="48"/>
    </row>
    <row r="9" spans="1:4" ht="48" x14ac:dyDescent="0.2">
      <c r="A9" s="28" t="s">
        <v>498</v>
      </c>
      <c r="B9" s="5"/>
      <c r="C9" s="109">
        <v>25000000</v>
      </c>
      <c r="D9" s="48"/>
    </row>
    <row r="10" spans="1:4" x14ac:dyDescent="0.2">
      <c r="A10" s="25" t="s">
        <v>490</v>
      </c>
      <c r="B10" s="5"/>
      <c r="C10" s="110">
        <v>48100000</v>
      </c>
      <c r="D10" s="48"/>
    </row>
    <row r="11" spans="1:4" x14ac:dyDescent="0.2">
      <c r="A11" s="25" t="s">
        <v>349</v>
      </c>
      <c r="B11" s="5"/>
      <c r="C11" s="110">
        <v>70000000</v>
      </c>
      <c r="D11" s="48"/>
    </row>
    <row r="12" spans="1:4" x14ac:dyDescent="0.2">
      <c r="A12" s="25" t="s">
        <v>350</v>
      </c>
      <c r="B12" s="5"/>
      <c r="C12" s="110">
        <v>70000000</v>
      </c>
      <c r="D12" s="48"/>
    </row>
    <row r="13" spans="1:4" x14ac:dyDescent="0.2">
      <c r="A13" s="25" t="s">
        <v>480</v>
      </c>
      <c r="B13" s="11"/>
      <c r="C13" s="110">
        <v>80000000</v>
      </c>
      <c r="D13" s="31"/>
    </row>
    <row r="14" spans="1:4" x14ac:dyDescent="0.2">
      <c r="A14" s="25" t="s">
        <v>481</v>
      </c>
      <c r="B14" s="55"/>
      <c r="C14" s="110">
        <v>80000000</v>
      </c>
      <c r="D14" s="31"/>
    </row>
    <row r="15" spans="1:4" x14ac:dyDescent="0.2">
      <c r="A15" s="25" t="s">
        <v>351</v>
      </c>
      <c r="B15" s="55"/>
      <c r="C15" s="109">
        <v>10000000</v>
      </c>
      <c r="D15" s="31"/>
    </row>
    <row r="16" spans="1:4" x14ac:dyDescent="0.2">
      <c r="A16" s="25" t="s">
        <v>352</v>
      </c>
      <c r="B16" s="55"/>
      <c r="C16" s="110">
        <v>15000000</v>
      </c>
      <c r="D16" s="31"/>
    </row>
    <row r="17" spans="1:4" ht="32" x14ac:dyDescent="0.2">
      <c r="A17" s="28" t="s">
        <v>497</v>
      </c>
      <c r="B17" s="55"/>
      <c r="C17" s="110">
        <v>3000000</v>
      </c>
      <c r="D17" s="31"/>
    </row>
    <row r="18" spans="1:4" x14ac:dyDescent="0.2">
      <c r="A18" s="25" t="s">
        <v>482</v>
      </c>
      <c r="B18" s="55"/>
      <c r="C18" s="110">
        <v>15000000</v>
      </c>
      <c r="D18" s="31"/>
    </row>
    <row r="19" spans="1:4" x14ac:dyDescent="0.2">
      <c r="A19" s="25" t="s">
        <v>483</v>
      </c>
      <c r="B19" s="55"/>
      <c r="C19" s="110">
        <v>20000000</v>
      </c>
      <c r="D19" s="31"/>
    </row>
    <row r="20" spans="1:4" x14ac:dyDescent="0.2">
      <c r="A20" s="25" t="s">
        <v>484</v>
      </c>
      <c r="B20" s="55"/>
      <c r="C20" s="110">
        <v>10000000</v>
      </c>
      <c r="D20" s="31"/>
    </row>
    <row r="21" spans="1:4" x14ac:dyDescent="0.2">
      <c r="A21" s="25" t="s">
        <v>485</v>
      </c>
      <c r="B21" s="55"/>
      <c r="C21" s="109">
        <v>10000000</v>
      </c>
      <c r="D21" s="31"/>
    </row>
    <row r="22" spans="1:4" ht="35" customHeight="1" x14ac:dyDescent="0.2">
      <c r="A22" s="28" t="s">
        <v>461</v>
      </c>
      <c r="B22" s="55"/>
      <c r="C22" s="110">
        <v>25000000</v>
      </c>
      <c r="D22" s="31"/>
    </row>
    <row r="23" spans="1:4" x14ac:dyDescent="0.2">
      <c r="A23" s="25" t="s">
        <v>353</v>
      </c>
      <c r="B23" s="55"/>
      <c r="C23" s="110">
        <v>75000000</v>
      </c>
      <c r="D23" s="31"/>
    </row>
    <row r="24" spans="1:4" x14ac:dyDescent="0.2">
      <c r="A24" s="111" t="s">
        <v>354</v>
      </c>
      <c r="B24" s="55"/>
      <c r="C24" s="110">
        <v>120000000</v>
      </c>
      <c r="D24" s="31"/>
    </row>
    <row r="25" spans="1:4" x14ac:dyDescent="0.2">
      <c r="A25" s="112" t="s">
        <v>463</v>
      </c>
      <c r="B25" s="55"/>
      <c r="C25" s="109">
        <v>10000000</v>
      </c>
      <c r="D25" s="31"/>
    </row>
    <row r="26" spans="1:4" ht="51" customHeight="1" x14ac:dyDescent="0.2">
      <c r="A26" s="113" t="s">
        <v>462</v>
      </c>
      <c r="B26" s="55"/>
      <c r="C26" s="110">
        <v>11100000</v>
      </c>
      <c r="D26" s="31"/>
    </row>
    <row r="27" spans="1:4" x14ac:dyDescent="0.2">
      <c r="A27" s="10" t="s">
        <v>0</v>
      </c>
      <c r="B27" s="5"/>
      <c r="C27" s="31"/>
      <c r="D27" s="39">
        <f>SUM(C8:C26)</f>
        <v>892200000</v>
      </c>
    </row>
    <row r="28" spans="1:4" x14ac:dyDescent="0.2">
      <c r="A28" s="3"/>
      <c r="B28" s="4"/>
      <c r="C28" s="33"/>
      <c r="D28" s="34"/>
    </row>
    <row r="29" spans="1:4" x14ac:dyDescent="0.2">
      <c r="B29" s="103" t="s">
        <v>450</v>
      </c>
      <c r="C29" s="67"/>
      <c r="D29" s="104">
        <f>+D27</f>
        <v>892200000</v>
      </c>
    </row>
    <row r="30" spans="1:4" x14ac:dyDescent="0.2">
      <c r="A30" s="3"/>
      <c r="B30" s="4"/>
      <c r="C30" s="33"/>
      <c r="D30" s="34"/>
    </row>
    <row r="31" spans="1:4" x14ac:dyDescent="0.2">
      <c r="A31" s="142" t="s">
        <v>138</v>
      </c>
      <c r="B31" s="5"/>
      <c r="C31" s="29"/>
      <c r="D31" s="29"/>
    </row>
    <row r="32" spans="1:4" x14ac:dyDescent="0.2">
      <c r="A32" s="142"/>
      <c r="B32" s="5"/>
      <c r="C32" s="29"/>
      <c r="D32" s="29"/>
    </row>
    <row r="33" spans="1:4" x14ac:dyDescent="0.2">
      <c r="A33" s="125" t="s">
        <v>1</v>
      </c>
      <c r="B33" s="5"/>
      <c r="C33" s="29"/>
      <c r="D33" s="29"/>
    </row>
    <row r="34" spans="1:4" x14ac:dyDescent="0.2">
      <c r="A34" s="188" t="s">
        <v>26</v>
      </c>
      <c r="B34" s="188"/>
      <c r="C34" s="188"/>
      <c r="D34" s="180"/>
    </row>
    <row r="35" spans="1:4" x14ac:dyDescent="0.2">
      <c r="A35" s="9" t="s">
        <v>154</v>
      </c>
      <c r="B35" s="5"/>
      <c r="C35" s="30">
        <v>200000</v>
      </c>
      <c r="D35" s="29"/>
    </row>
    <row r="36" spans="1:4" x14ac:dyDescent="0.2">
      <c r="A36" s="7" t="s">
        <v>0</v>
      </c>
      <c r="B36" s="5"/>
      <c r="C36" s="29"/>
      <c r="D36" s="32">
        <f>SUM(C35)</f>
        <v>200000</v>
      </c>
    </row>
    <row r="37" spans="1:4" x14ac:dyDescent="0.2">
      <c r="A37" s="3"/>
      <c r="B37" s="4"/>
      <c r="C37" s="143"/>
      <c r="D37" s="34"/>
    </row>
    <row r="38" spans="1:4" x14ac:dyDescent="0.2">
      <c r="A38" s="184" t="s">
        <v>96</v>
      </c>
      <c r="B38" s="184"/>
      <c r="C38" s="29"/>
      <c r="D38" s="29"/>
    </row>
    <row r="39" spans="1:4" ht="222" customHeight="1" x14ac:dyDescent="0.2">
      <c r="A39" s="179" t="s">
        <v>133</v>
      </c>
      <c r="B39" s="179"/>
      <c r="C39" s="179"/>
      <c r="D39" s="180"/>
    </row>
    <row r="40" spans="1:4" x14ac:dyDescent="0.2">
      <c r="A40" s="129" t="s">
        <v>101</v>
      </c>
      <c r="B40" s="127"/>
      <c r="C40" s="110">
        <v>7000000</v>
      </c>
      <c r="D40" s="144"/>
    </row>
    <row r="41" spans="1:4" x14ac:dyDescent="0.2">
      <c r="A41" s="129" t="s">
        <v>103</v>
      </c>
      <c r="B41" s="127"/>
      <c r="C41" s="110">
        <v>3000000</v>
      </c>
      <c r="D41" s="144"/>
    </row>
    <row r="42" spans="1:4" x14ac:dyDescent="0.2">
      <c r="A42" s="129" t="s">
        <v>102</v>
      </c>
      <c r="B42" s="127"/>
      <c r="C42" s="110">
        <v>7000000</v>
      </c>
      <c r="D42" s="144"/>
    </row>
    <row r="43" spans="1:4" x14ac:dyDescent="0.2">
      <c r="A43" s="129" t="s">
        <v>122</v>
      </c>
      <c r="B43" s="127"/>
      <c r="C43" s="110">
        <f>SUM(40000*127)</f>
        <v>5080000</v>
      </c>
      <c r="D43" s="144"/>
    </row>
    <row r="44" spans="1:4" x14ac:dyDescent="0.2">
      <c r="A44" s="28" t="s">
        <v>119</v>
      </c>
      <c r="B44" s="11" t="s">
        <v>134</v>
      </c>
      <c r="C44" s="36">
        <f>SUM(1000*123*5)</f>
        <v>615000</v>
      </c>
      <c r="D44" s="29"/>
    </row>
    <row r="45" spans="1:4" x14ac:dyDescent="0.2">
      <c r="A45" s="28" t="s">
        <v>155</v>
      </c>
      <c r="B45" s="55"/>
      <c r="C45" s="36">
        <v>500000</v>
      </c>
      <c r="D45" s="29"/>
    </row>
    <row r="46" spans="1:4" x14ac:dyDescent="0.2">
      <c r="A46" s="9" t="s">
        <v>105</v>
      </c>
      <c r="B46" s="9" t="s">
        <v>104</v>
      </c>
      <c r="C46" s="36">
        <f>15*123*2*3*10</f>
        <v>110700</v>
      </c>
      <c r="D46" s="29"/>
    </row>
    <row r="47" spans="1:4" x14ac:dyDescent="0.2">
      <c r="A47" s="7" t="s">
        <v>0</v>
      </c>
      <c r="B47" s="5"/>
      <c r="C47" s="29"/>
      <c r="D47" s="39">
        <f>SUM(C40:C46)</f>
        <v>23305700</v>
      </c>
    </row>
    <row r="48" spans="1:4" x14ac:dyDescent="0.2">
      <c r="A48" s="3"/>
      <c r="B48" s="4"/>
      <c r="C48" s="143"/>
      <c r="D48" s="34"/>
    </row>
    <row r="49" spans="1:4" x14ac:dyDescent="0.2">
      <c r="A49" s="125" t="s">
        <v>216</v>
      </c>
      <c r="B49" s="5"/>
      <c r="C49" s="29"/>
      <c r="D49" s="29"/>
    </row>
    <row r="50" spans="1:4" ht="30" customHeight="1" x14ac:dyDescent="0.2">
      <c r="A50" s="179" t="s">
        <v>5</v>
      </c>
      <c r="B50" s="179"/>
      <c r="C50" s="179"/>
      <c r="D50" s="180"/>
    </row>
    <row r="51" spans="1:4" x14ac:dyDescent="0.2">
      <c r="A51" s="178" t="s">
        <v>106</v>
      </c>
      <c r="B51" s="178"/>
      <c r="C51" s="29"/>
      <c r="D51" s="29"/>
    </row>
    <row r="52" spans="1:4" x14ac:dyDescent="0.2">
      <c r="A52" s="9" t="s">
        <v>2</v>
      </c>
      <c r="B52" s="9" t="s">
        <v>27</v>
      </c>
      <c r="C52" s="30">
        <f>33500*2</f>
        <v>67000</v>
      </c>
      <c r="D52" s="29"/>
    </row>
    <row r="53" spans="1:4" x14ac:dyDescent="0.2">
      <c r="A53" s="178" t="s">
        <v>107</v>
      </c>
      <c r="B53" s="178"/>
      <c r="C53" s="29"/>
      <c r="D53" s="29"/>
    </row>
    <row r="54" spans="1:4" x14ac:dyDescent="0.2">
      <c r="A54" s="9" t="s">
        <v>2</v>
      </c>
      <c r="B54" s="9" t="s">
        <v>28</v>
      </c>
      <c r="C54" s="30">
        <f>35000*2</f>
        <v>70000</v>
      </c>
      <c r="D54" s="29"/>
    </row>
    <row r="55" spans="1:4" x14ac:dyDescent="0.2">
      <c r="A55" s="184" t="s">
        <v>110</v>
      </c>
      <c r="B55" s="184"/>
      <c r="C55" s="43"/>
      <c r="D55" s="29"/>
    </row>
    <row r="56" spans="1:4" x14ac:dyDescent="0.2">
      <c r="A56" s="28" t="s">
        <v>2</v>
      </c>
      <c r="B56" s="28" t="s">
        <v>172</v>
      </c>
      <c r="C56" s="36">
        <f>25000*3</f>
        <v>75000</v>
      </c>
      <c r="D56" s="29"/>
    </row>
    <row r="57" spans="1:4" x14ac:dyDescent="0.2">
      <c r="A57" s="126" t="s">
        <v>217</v>
      </c>
      <c r="B57" s="126"/>
      <c r="C57" s="43"/>
      <c r="D57" s="29"/>
    </row>
    <row r="58" spans="1:4" x14ac:dyDescent="0.2">
      <c r="A58" s="129" t="s">
        <v>218</v>
      </c>
      <c r="B58" s="128" t="s">
        <v>50</v>
      </c>
      <c r="C58" s="110">
        <f>3000*123</f>
        <v>369000</v>
      </c>
      <c r="D58" s="137"/>
    </row>
    <row r="59" spans="1:4" x14ac:dyDescent="0.2">
      <c r="A59" s="7" t="s">
        <v>0</v>
      </c>
      <c r="B59" s="5"/>
      <c r="C59" s="29"/>
      <c r="D59" s="32">
        <f>SUM(C52+C54+C56+C58)</f>
        <v>581000</v>
      </c>
    </row>
    <row r="60" spans="1:4" x14ac:dyDescent="0.2">
      <c r="A60" s="3"/>
      <c r="B60" s="4"/>
      <c r="C60" s="143"/>
      <c r="D60" s="34"/>
    </row>
    <row r="61" spans="1:4" x14ac:dyDescent="0.2">
      <c r="A61" s="125" t="s">
        <v>222</v>
      </c>
      <c r="B61" s="5"/>
      <c r="C61" s="29"/>
      <c r="D61" s="29"/>
    </row>
    <row r="62" spans="1:4" ht="56" customHeight="1" x14ac:dyDescent="0.2">
      <c r="A62" s="179" t="s">
        <v>29</v>
      </c>
      <c r="B62" s="179"/>
      <c r="C62" s="179"/>
      <c r="D62" s="180"/>
    </row>
    <row r="63" spans="1:4" x14ac:dyDescent="0.2">
      <c r="A63" s="9" t="s">
        <v>109</v>
      </c>
      <c r="B63" s="9" t="s">
        <v>30</v>
      </c>
      <c r="C63" s="30">
        <f>15000*123</f>
        <v>1845000</v>
      </c>
      <c r="D63" s="29"/>
    </row>
    <row r="64" spans="1:4" x14ac:dyDescent="0.2">
      <c r="A64" s="9" t="s">
        <v>6</v>
      </c>
      <c r="B64" s="9" t="s">
        <v>50</v>
      </c>
      <c r="C64" s="30">
        <f>3000*123</f>
        <v>369000</v>
      </c>
      <c r="D64" s="29"/>
    </row>
    <row r="65" spans="1:4" x14ac:dyDescent="0.2">
      <c r="A65" s="9" t="s">
        <v>7</v>
      </c>
      <c r="B65" s="9" t="s">
        <v>32</v>
      </c>
      <c r="C65" s="30">
        <f>51*4*123</f>
        <v>25092</v>
      </c>
      <c r="D65" s="29"/>
    </row>
    <row r="66" spans="1:4" x14ac:dyDescent="0.2">
      <c r="A66" s="2" t="s">
        <v>159</v>
      </c>
      <c r="B66" s="57">
        <v>150000</v>
      </c>
      <c r="C66" s="145">
        <v>150000</v>
      </c>
      <c r="D66" s="29"/>
    </row>
    <row r="67" spans="1:4" x14ac:dyDescent="0.2">
      <c r="A67" s="9" t="s">
        <v>33</v>
      </c>
      <c r="B67" s="27">
        <v>280000</v>
      </c>
      <c r="C67" s="30">
        <v>280000</v>
      </c>
      <c r="D67" s="43"/>
    </row>
    <row r="68" spans="1:4" x14ac:dyDescent="0.2">
      <c r="A68" s="28" t="s">
        <v>8</v>
      </c>
      <c r="B68" s="28" t="s">
        <v>34</v>
      </c>
      <c r="C68" s="36">
        <v>150000</v>
      </c>
      <c r="D68" s="43"/>
    </row>
    <row r="69" spans="1:4" x14ac:dyDescent="0.2">
      <c r="A69" s="28" t="s">
        <v>35</v>
      </c>
      <c r="B69" s="28" t="s">
        <v>36</v>
      </c>
      <c r="C69" s="36">
        <v>30000</v>
      </c>
      <c r="D69" s="43"/>
    </row>
    <row r="70" spans="1:4" x14ac:dyDescent="0.2">
      <c r="A70" s="9" t="s">
        <v>9</v>
      </c>
      <c r="B70" s="9" t="s">
        <v>37</v>
      </c>
      <c r="C70" s="30">
        <f>700*123</f>
        <v>86100</v>
      </c>
      <c r="D70" s="29"/>
    </row>
    <row r="71" spans="1:4" x14ac:dyDescent="0.2">
      <c r="A71" s="9" t="s">
        <v>10</v>
      </c>
      <c r="B71" s="9" t="s">
        <v>38</v>
      </c>
      <c r="C71" s="30">
        <f>7500*123</f>
        <v>922500</v>
      </c>
      <c r="D71" s="29"/>
    </row>
    <row r="72" spans="1:4" x14ac:dyDescent="0.2">
      <c r="A72" s="9" t="s">
        <v>39</v>
      </c>
      <c r="B72" s="9" t="s">
        <v>40</v>
      </c>
      <c r="C72" s="30">
        <v>200000</v>
      </c>
      <c r="D72" s="29"/>
    </row>
    <row r="73" spans="1:4" x14ac:dyDescent="0.2">
      <c r="A73" s="9" t="s">
        <v>11</v>
      </c>
      <c r="B73" s="28" t="s">
        <v>41</v>
      </c>
      <c r="C73" s="30">
        <v>3500</v>
      </c>
      <c r="D73" s="29"/>
    </row>
    <row r="74" spans="1:4" x14ac:dyDescent="0.2">
      <c r="A74" s="9" t="s">
        <v>158</v>
      </c>
      <c r="B74" s="9" t="s">
        <v>75</v>
      </c>
      <c r="C74" s="30">
        <f>1000*123</f>
        <v>123000</v>
      </c>
      <c r="D74" s="29"/>
    </row>
    <row r="75" spans="1:4" x14ac:dyDescent="0.2">
      <c r="A75" s="9" t="s">
        <v>42</v>
      </c>
      <c r="B75" s="9" t="s">
        <v>43</v>
      </c>
      <c r="C75" s="30">
        <f>4000*123</f>
        <v>492000</v>
      </c>
      <c r="D75" s="29"/>
    </row>
    <row r="76" spans="1:4" x14ac:dyDescent="0.2">
      <c r="A76" s="9" t="s">
        <v>12</v>
      </c>
      <c r="B76" s="9" t="s">
        <v>36</v>
      </c>
      <c r="C76" s="30">
        <v>30000</v>
      </c>
      <c r="D76" s="29"/>
    </row>
    <row r="77" spans="1:4" x14ac:dyDescent="0.2">
      <c r="A77" s="9" t="s">
        <v>44</v>
      </c>
      <c r="B77" s="9" t="s">
        <v>45</v>
      </c>
      <c r="C77" s="30">
        <v>20000</v>
      </c>
      <c r="D77" s="29"/>
    </row>
    <row r="78" spans="1:4" x14ac:dyDescent="0.2">
      <c r="A78" s="9" t="s">
        <v>108</v>
      </c>
      <c r="B78" s="9" t="s">
        <v>46</v>
      </c>
      <c r="C78" s="30">
        <v>120000</v>
      </c>
      <c r="D78" s="29"/>
    </row>
    <row r="79" spans="1:4" x14ac:dyDescent="0.2">
      <c r="A79" s="9" t="s">
        <v>153</v>
      </c>
      <c r="B79" s="9" t="s">
        <v>117</v>
      </c>
      <c r="C79" s="30">
        <f>200*123</f>
        <v>24600</v>
      </c>
      <c r="D79" s="29"/>
    </row>
    <row r="80" spans="1:4" x14ac:dyDescent="0.2">
      <c r="A80" s="9" t="s">
        <v>115</v>
      </c>
      <c r="B80" s="28" t="s">
        <v>116</v>
      </c>
      <c r="C80" s="36">
        <f>300*123</f>
        <v>36900</v>
      </c>
      <c r="D80" s="29"/>
    </row>
    <row r="81" spans="1:4" x14ac:dyDescent="0.2">
      <c r="A81" s="7" t="s">
        <v>0</v>
      </c>
      <c r="B81" s="5"/>
      <c r="C81" s="29"/>
      <c r="D81" s="32">
        <f>SUM(C63:C80)</f>
        <v>4907692</v>
      </c>
    </row>
    <row r="82" spans="1:4" x14ac:dyDescent="0.2">
      <c r="A82" s="3"/>
      <c r="B82" s="4"/>
      <c r="C82" s="143"/>
      <c r="D82" s="34"/>
    </row>
    <row r="83" spans="1:4" x14ac:dyDescent="0.2">
      <c r="A83" s="125" t="s">
        <v>223</v>
      </c>
      <c r="B83" s="5"/>
      <c r="C83" s="29"/>
      <c r="D83" s="29"/>
    </row>
    <row r="84" spans="1:4" ht="58" customHeight="1" x14ac:dyDescent="0.2">
      <c r="A84" s="181" t="s">
        <v>47</v>
      </c>
      <c r="B84" s="181"/>
      <c r="C84" s="181"/>
      <c r="D84" s="181"/>
    </row>
    <row r="85" spans="1:4" x14ac:dyDescent="0.2">
      <c r="A85" s="125" t="s">
        <v>111</v>
      </c>
      <c r="B85" s="8">
        <f>SUM(C86:C90)</f>
        <v>629800</v>
      </c>
      <c r="C85" s="146"/>
      <c r="D85" s="29"/>
    </row>
    <row r="86" spans="1:4" x14ac:dyDescent="0.2">
      <c r="A86" s="2" t="s">
        <v>159</v>
      </c>
      <c r="B86" s="57" t="s">
        <v>499</v>
      </c>
      <c r="C86" s="145">
        <v>81600</v>
      </c>
      <c r="D86" s="29"/>
    </row>
    <row r="87" spans="1:4" x14ac:dyDescent="0.2">
      <c r="A87" s="9" t="s">
        <v>48</v>
      </c>
      <c r="B87" s="27">
        <v>102400</v>
      </c>
      <c r="C87" s="30">
        <v>102400</v>
      </c>
      <c r="D87" s="29"/>
    </row>
    <row r="88" spans="1:4" x14ac:dyDescent="0.2">
      <c r="A88" s="9" t="s">
        <v>11</v>
      </c>
      <c r="B88" s="28" t="s">
        <v>230</v>
      </c>
      <c r="C88" s="30">
        <v>3000</v>
      </c>
      <c r="D88" s="29"/>
    </row>
    <row r="89" spans="1:4" x14ac:dyDescent="0.2">
      <c r="A89" s="9" t="s">
        <v>13</v>
      </c>
      <c r="B89" s="9" t="s">
        <v>156</v>
      </c>
      <c r="C89" s="30">
        <f>600*123</f>
        <v>73800</v>
      </c>
      <c r="D89" s="29"/>
    </row>
    <row r="90" spans="1:4" x14ac:dyDescent="0.2">
      <c r="A90" s="9" t="s">
        <v>52</v>
      </c>
      <c r="B90" s="9" t="s">
        <v>50</v>
      </c>
      <c r="C90" s="30">
        <f>3000*123</f>
        <v>369000</v>
      </c>
      <c r="D90" s="29"/>
    </row>
    <row r="91" spans="1:4" x14ac:dyDescent="0.2">
      <c r="A91" s="125" t="s">
        <v>112</v>
      </c>
      <c r="B91" s="8">
        <f>SUM(C92:C101)</f>
        <v>3652671</v>
      </c>
      <c r="C91" s="29"/>
      <c r="D91" s="29"/>
    </row>
    <row r="92" spans="1:4" x14ac:dyDescent="0.2">
      <c r="A92" s="9" t="s">
        <v>14</v>
      </c>
      <c r="B92" s="28" t="s">
        <v>135</v>
      </c>
      <c r="C92" s="36">
        <f>5187*123</f>
        <v>638001</v>
      </c>
      <c r="D92" s="29"/>
    </row>
    <row r="93" spans="1:4" x14ac:dyDescent="0.2">
      <c r="A93" s="9" t="s">
        <v>137</v>
      </c>
      <c r="B93" s="9" t="s">
        <v>118</v>
      </c>
      <c r="C93" s="30">
        <f>3500*123</f>
        <v>430500</v>
      </c>
      <c r="D93" s="29"/>
    </row>
    <row r="94" spans="1:4" x14ac:dyDescent="0.2">
      <c r="A94" s="9" t="s">
        <v>53</v>
      </c>
      <c r="B94" s="27">
        <v>150000</v>
      </c>
      <c r="C94" s="30">
        <v>150000</v>
      </c>
      <c r="D94" s="29"/>
    </row>
    <row r="95" spans="1:4" x14ac:dyDescent="0.2">
      <c r="A95" s="9" t="s">
        <v>51</v>
      </c>
      <c r="B95" s="9" t="s">
        <v>30</v>
      </c>
      <c r="C95" s="30">
        <f>15000*123</f>
        <v>1845000</v>
      </c>
      <c r="D95" s="29"/>
    </row>
    <row r="96" spans="1:4" x14ac:dyDescent="0.2">
      <c r="A96" s="9" t="s">
        <v>158</v>
      </c>
      <c r="B96" s="9" t="s">
        <v>75</v>
      </c>
      <c r="C96" s="30">
        <f>1000*123</f>
        <v>123000</v>
      </c>
      <c r="D96" s="29"/>
    </row>
    <row r="97" spans="1:4" x14ac:dyDescent="0.2">
      <c r="A97" s="9" t="s">
        <v>49</v>
      </c>
      <c r="B97" s="28" t="s">
        <v>136</v>
      </c>
      <c r="C97" s="36">
        <f>180*123</f>
        <v>22140</v>
      </c>
      <c r="D97" s="29"/>
    </row>
    <row r="98" spans="1:4" x14ac:dyDescent="0.2">
      <c r="A98" s="9" t="s">
        <v>3</v>
      </c>
      <c r="B98" s="9" t="s">
        <v>54</v>
      </c>
      <c r="C98" s="30">
        <f>3100*123</f>
        <v>381300</v>
      </c>
      <c r="D98" s="29"/>
    </row>
    <row r="99" spans="1:4" x14ac:dyDescent="0.2">
      <c r="A99" s="9" t="s">
        <v>15</v>
      </c>
      <c r="B99" s="9" t="s">
        <v>55</v>
      </c>
      <c r="C99" s="30">
        <f>100*123</f>
        <v>12300</v>
      </c>
      <c r="D99" s="29"/>
    </row>
    <row r="100" spans="1:4" x14ac:dyDescent="0.2">
      <c r="A100" s="9" t="s">
        <v>16</v>
      </c>
      <c r="B100" s="9" t="s">
        <v>56</v>
      </c>
      <c r="C100" s="30">
        <f>240*123</f>
        <v>29520</v>
      </c>
      <c r="D100" s="29"/>
    </row>
    <row r="101" spans="1:4" x14ac:dyDescent="0.2">
      <c r="A101" s="9" t="s">
        <v>17</v>
      </c>
      <c r="B101" s="9" t="s">
        <v>57</v>
      </c>
      <c r="C101" s="30">
        <f>170*123</f>
        <v>20910</v>
      </c>
      <c r="D101" s="146"/>
    </row>
    <row r="102" spans="1:4" x14ac:dyDescent="0.2">
      <c r="A102" s="7" t="s">
        <v>0</v>
      </c>
      <c r="B102" s="11"/>
      <c r="C102" s="29"/>
      <c r="D102" s="32">
        <f>SUM(B85+B91)</f>
        <v>4282471</v>
      </c>
    </row>
    <row r="103" spans="1:4" x14ac:dyDescent="0.2">
      <c r="A103" s="3"/>
      <c r="B103" s="4"/>
      <c r="C103" s="143"/>
      <c r="D103" s="34"/>
    </row>
    <row r="104" spans="1:4" x14ac:dyDescent="0.2">
      <c r="A104" s="178" t="s">
        <v>224</v>
      </c>
      <c r="B104" s="178"/>
      <c r="C104" s="29"/>
      <c r="D104" s="29"/>
    </row>
    <row r="105" spans="1:4" ht="55" customHeight="1" x14ac:dyDescent="0.2">
      <c r="A105" s="181" t="s">
        <v>58</v>
      </c>
      <c r="B105" s="181"/>
      <c r="C105" s="181"/>
      <c r="D105" s="181"/>
    </row>
    <row r="106" spans="1:4" x14ac:dyDescent="0.2">
      <c r="A106" s="9" t="s">
        <v>59</v>
      </c>
      <c r="B106" s="9" t="s">
        <v>60</v>
      </c>
      <c r="C106" s="30">
        <f>20000*2</f>
        <v>40000</v>
      </c>
      <c r="D106" s="29"/>
    </row>
    <row r="107" spans="1:4" x14ac:dyDescent="0.2">
      <c r="A107" s="9" t="s">
        <v>13</v>
      </c>
      <c r="B107" s="9" t="s">
        <v>113</v>
      </c>
      <c r="C107" s="30">
        <f>15*123*3*2</f>
        <v>11070</v>
      </c>
      <c r="D107" s="29"/>
    </row>
    <row r="108" spans="1:4" x14ac:dyDescent="0.2">
      <c r="A108" s="9" t="s">
        <v>61</v>
      </c>
      <c r="B108" s="9" t="s">
        <v>62</v>
      </c>
      <c r="C108" s="30">
        <f>50*123*8</f>
        <v>49200</v>
      </c>
      <c r="D108" s="29"/>
    </row>
    <row r="109" spans="1:4" x14ac:dyDescent="0.2">
      <c r="A109" s="129" t="s">
        <v>478</v>
      </c>
      <c r="B109" s="128" t="s">
        <v>88</v>
      </c>
      <c r="C109" s="110">
        <f>10000*123</f>
        <v>1230000</v>
      </c>
      <c r="D109" s="130"/>
    </row>
    <row r="110" spans="1:4" x14ac:dyDescent="0.2">
      <c r="A110" s="129" t="s">
        <v>114</v>
      </c>
      <c r="B110" s="129" t="s">
        <v>50</v>
      </c>
      <c r="C110" s="110">
        <f>3000*123</f>
        <v>369000</v>
      </c>
      <c r="D110" s="130"/>
    </row>
    <row r="111" spans="1:4" x14ac:dyDescent="0.2">
      <c r="A111" s="7" t="s">
        <v>0</v>
      </c>
      <c r="B111" s="5"/>
      <c r="C111" s="29"/>
      <c r="D111" s="32">
        <f>SUM(C106:C110)</f>
        <v>1699270</v>
      </c>
    </row>
    <row r="112" spans="1:4" x14ac:dyDescent="0.2">
      <c r="A112" s="3"/>
      <c r="B112" s="4"/>
      <c r="C112" s="143"/>
      <c r="D112" s="34"/>
    </row>
    <row r="113" spans="1:4" x14ac:dyDescent="0.2">
      <c r="A113" s="184" t="s">
        <v>125</v>
      </c>
      <c r="B113" s="184"/>
      <c r="C113" s="35"/>
      <c r="D113" s="35"/>
    </row>
    <row r="114" spans="1:4" ht="82" customHeight="1" x14ac:dyDescent="0.2">
      <c r="A114" s="166" t="s">
        <v>127</v>
      </c>
      <c r="B114" s="185"/>
      <c r="C114" s="185"/>
      <c r="D114" s="186"/>
    </row>
    <row r="115" spans="1:4" x14ac:dyDescent="0.2">
      <c r="A115" s="28" t="s">
        <v>126</v>
      </c>
      <c r="B115" s="28" t="s">
        <v>128</v>
      </c>
      <c r="C115" s="36">
        <f>35000*10</f>
        <v>350000</v>
      </c>
      <c r="D115" s="43"/>
    </row>
    <row r="116" spans="1:4" x14ac:dyDescent="0.2">
      <c r="A116" s="28" t="s">
        <v>114</v>
      </c>
      <c r="B116" s="28" t="s">
        <v>157</v>
      </c>
      <c r="C116" s="36">
        <f>4500*123</f>
        <v>553500</v>
      </c>
      <c r="D116" s="43"/>
    </row>
    <row r="117" spans="1:4" x14ac:dyDescent="0.2">
      <c r="A117" s="147" t="s">
        <v>0</v>
      </c>
      <c r="B117" s="53"/>
      <c r="C117" s="43"/>
      <c r="D117" s="39">
        <f>SUM(C115:C116)</f>
        <v>903500</v>
      </c>
    </row>
    <row r="118" spans="1:4" x14ac:dyDescent="0.2">
      <c r="A118" s="49"/>
      <c r="B118" s="50"/>
      <c r="C118" s="148"/>
      <c r="D118" s="51"/>
    </row>
    <row r="119" spans="1:4" x14ac:dyDescent="0.2">
      <c r="A119" s="134" t="s">
        <v>231</v>
      </c>
      <c r="B119" s="131"/>
      <c r="C119" s="144"/>
      <c r="D119" s="144"/>
    </row>
    <row r="120" spans="1:4" ht="61" customHeight="1" x14ac:dyDescent="0.2">
      <c r="A120" s="187" t="s">
        <v>64</v>
      </c>
      <c r="B120" s="187"/>
      <c r="C120" s="187"/>
      <c r="D120" s="187"/>
    </row>
    <row r="121" spans="1:4" x14ac:dyDescent="0.2">
      <c r="A121" s="129" t="s">
        <v>18</v>
      </c>
      <c r="B121" s="129" t="s">
        <v>31</v>
      </c>
      <c r="C121" s="110">
        <f>2500*123</f>
        <v>307500</v>
      </c>
      <c r="D121" s="130"/>
    </row>
    <row r="122" spans="1:4" x14ac:dyDescent="0.2">
      <c r="A122" s="129" t="s">
        <v>19</v>
      </c>
      <c r="B122" s="129" t="s">
        <v>65</v>
      </c>
      <c r="C122" s="110">
        <v>60000</v>
      </c>
      <c r="D122" s="130"/>
    </row>
    <row r="123" spans="1:4" x14ac:dyDescent="0.2">
      <c r="A123" s="129" t="s">
        <v>20</v>
      </c>
      <c r="B123" s="129" t="s">
        <v>66</v>
      </c>
      <c r="C123" s="110">
        <v>36000</v>
      </c>
      <c r="D123" s="130"/>
    </row>
    <row r="124" spans="1:4" x14ac:dyDescent="0.2">
      <c r="A124" s="129" t="s">
        <v>21</v>
      </c>
      <c r="B124" s="129" t="s">
        <v>22</v>
      </c>
      <c r="C124" s="110">
        <f>38000*2</f>
        <v>76000</v>
      </c>
      <c r="D124" s="130"/>
    </row>
    <row r="125" spans="1:4" x14ac:dyDescent="0.2">
      <c r="A125" s="129" t="s">
        <v>3</v>
      </c>
      <c r="B125" s="129" t="s">
        <v>23</v>
      </c>
      <c r="C125" s="110">
        <f>155*123*2*2</f>
        <v>76260</v>
      </c>
      <c r="D125" s="130"/>
    </row>
    <row r="126" spans="1:4" x14ac:dyDescent="0.2">
      <c r="A126" s="129" t="s">
        <v>13</v>
      </c>
      <c r="B126" s="129" t="s">
        <v>67</v>
      </c>
      <c r="C126" s="110">
        <f>15*123*1*3</f>
        <v>5535</v>
      </c>
      <c r="D126" s="130"/>
    </row>
    <row r="127" spans="1:4" x14ac:dyDescent="0.2">
      <c r="A127" s="149" t="s">
        <v>0</v>
      </c>
      <c r="B127" s="132"/>
      <c r="C127" s="130"/>
      <c r="D127" s="133">
        <f>SUM(C121:C126)</f>
        <v>561295</v>
      </c>
    </row>
    <row r="128" spans="1:4" x14ac:dyDescent="0.2">
      <c r="A128" s="3"/>
      <c r="B128" s="4"/>
      <c r="C128" s="143"/>
      <c r="D128" s="34"/>
    </row>
    <row r="129" spans="1:4" x14ac:dyDescent="0.2">
      <c r="A129" s="184" t="s">
        <v>225</v>
      </c>
      <c r="B129" s="184"/>
      <c r="C129" s="37"/>
      <c r="D129" s="37"/>
    </row>
    <row r="130" spans="1:4" ht="76" customHeight="1" x14ac:dyDescent="0.2">
      <c r="A130" s="179" t="s">
        <v>68</v>
      </c>
      <c r="B130" s="179"/>
      <c r="C130" s="179"/>
      <c r="D130" s="180"/>
    </row>
    <row r="131" spans="1:4" x14ac:dyDescent="0.2">
      <c r="A131" s="12" t="s">
        <v>4</v>
      </c>
      <c r="B131" s="9" t="s">
        <v>160</v>
      </c>
      <c r="C131" s="30">
        <f>60*3000*5</f>
        <v>900000</v>
      </c>
      <c r="D131" s="38"/>
    </row>
    <row r="132" spans="1:4" x14ac:dyDescent="0.2">
      <c r="A132" s="12" t="s">
        <v>69</v>
      </c>
      <c r="B132" s="9"/>
      <c r="C132" s="30">
        <v>150000</v>
      </c>
      <c r="D132" s="38"/>
    </row>
    <row r="133" spans="1:4" x14ac:dyDescent="0.2">
      <c r="A133" s="12" t="s">
        <v>70</v>
      </c>
      <c r="B133" s="9"/>
      <c r="C133" s="30">
        <v>20000</v>
      </c>
      <c r="D133" s="38"/>
    </row>
    <row r="134" spans="1:4" x14ac:dyDescent="0.2">
      <c r="A134" s="12" t="s">
        <v>71</v>
      </c>
      <c r="B134" s="9"/>
      <c r="C134" s="30">
        <v>120000</v>
      </c>
      <c r="D134" s="38"/>
    </row>
    <row r="135" spans="1:4" x14ac:dyDescent="0.2">
      <c r="A135" s="12" t="s">
        <v>72</v>
      </c>
      <c r="B135" s="9"/>
      <c r="C135" s="30">
        <v>125000</v>
      </c>
      <c r="D135" s="38"/>
    </row>
    <row r="136" spans="1:4" x14ac:dyDescent="0.2">
      <c r="A136" s="12" t="s">
        <v>73</v>
      </c>
      <c r="B136" s="9"/>
      <c r="C136" s="30">
        <v>140000</v>
      </c>
      <c r="D136" s="38"/>
    </row>
    <row r="137" spans="1:4" x14ac:dyDescent="0.2">
      <c r="A137" s="12" t="s">
        <v>74</v>
      </c>
      <c r="B137" s="9" t="s">
        <v>80</v>
      </c>
      <c r="C137" s="30">
        <f>SUM(1500*123)</f>
        <v>184500</v>
      </c>
      <c r="D137" s="38"/>
    </row>
    <row r="138" spans="1:4" x14ac:dyDescent="0.2">
      <c r="A138" s="12" t="s">
        <v>129</v>
      </c>
      <c r="B138" s="54" t="s">
        <v>75</v>
      </c>
      <c r="C138" s="30">
        <f>SUM(1000*123)</f>
        <v>123000</v>
      </c>
      <c r="D138" s="38"/>
    </row>
    <row r="139" spans="1:4" x14ac:dyDescent="0.2">
      <c r="A139" s="28" t="s">
        <v>123</v>
      </c>
      <c r="B139" s="56" t="s">
        <v>165</v>
      </c>
      <c r="C139" s="36">
        <f>4000*2*123</f>
        <v>984000</v>
      </c>
      <c r="D139" s="38"/>
    </row>
    <row r="140" spans="1:4" x14ac:dyDescent="0.2">
      <c r="A140" s="12" t="s">
        <v>97</v>
      </c>
      <c r="B140" s="9"/>
      <c r="C140" s="30">
        <v>500000</v>
      </c>
      <c r="D140" s="38"/>
    </row>
    <row r="141" spans="1:4" x14ac:dyDescent="0.2">
      <c r="A141" s="12" t="s">
        <v>164</v>
      </c>
      <c r="B141" s="9" t="s">
        <v>163</v>
      </c>
      <c r="C141" s="30">
        <f>SUM(90*1.5*123)</f>
        <v>16605</v>
      </c>
      <c r="D141" s="38"/>
    </row>
    <row r="142" spans="1:4" x14ac:dyDescent="0.2">
      <c r="A142" s="2" t="s">
        <v>161</v>
      </c>
      <c r="B142" s="2" t="s">
        <v>162</v>
      </c>
      <c r="C142" s="145">
        <f>SUM(60*5*123)</f>
        <v>36900</v>
      </c>
      <c r="D142" s="38"/>
    </row>
    <row r="143" spans="1:4" x14ac:dyDescent="0.2">
      <c r="A143" s="8" t="s">
        <v>0</v>
      </c>
      <c r="B143" s="8"/>
      <c r="C143" s="30"/>
      <c r="D143" s="39">
        <f>SUM(C131:C142)</f>
        <v>3300005</v>
      </c>
    </row>
    <row r="144" spans="1:4" x14ac:dyDescent="0.2">
      <c r="A144" s="3"/>
      <c r="B144" s="4"/>
      <c r="C144" s="143"/>
      <c r="D144" s="34"/>
    </row>
    <row r="145" spans="1:4" x14ac:dyDescent="0.2">
      <c r="A145" s="178" t="s">
        <v>77</v>
      </c>
      <c r="B145" s="178"/>
      <c r="C145" s="29"/>
      <c r="D145" s="29"/>
    </row>
    <row r="146" spans="1:4" ht="54" customHeight="1" x14ac:dyDescent="0.2">
      <c r="A146" s="179" t="s">
        <v>98</v>
      </c>
      <c r="B146" s="179"/>
      <c r="C146" s="179"/>
      <c r="D146" s="180"/>
    </row>
    <row r="147" spans="1:4" x14ac:dyDescent="0.2">
      <c r="A147" s="9" t="s">
        <v>219</v>
      </c>
      <c r="B147" s="5"/>
      <c r="C147" s="30">
        <f>SUM(500*127)</f>
        <v>63500</v>
      </c>
      <c r="D147" s="29"/>
    </row>
    <row r="148" spans="1:4" x14ac:dyDescent="0.2">
      <c r="A148" s="9" t="s">
        <v>220</v>
      </c>
      <c r="B148" s="5"/>
      <c r="C148" s="30">
        <f>SUM(500*127)</f>
        <v>63500</v>
      </c>
      <c r="D148" s="29"/>
    </row>
    <row r="149" spans="1:4" x14ac:dyDescent="0.2">
      <c r="A149" s="9" t="s">
        <v>500</v>
      </c>
      <c r="B149" s="5"/>
      <c r="C149" s="30">
        <v>444000</v>
      </c>
      <c r="D149" s="29"/>
    </row>
    <row r="150" spans="1:4" x14ac:dyDescent="0.2">
      <c r="A150" s="9" t="s">
        <v>501</v>
      </c>
      <c r="B150" s="5"/>
      <c r="C150" s="30">
        <v>68400</v>
      </c>
      <c r="D150" s="29"/>
    </row>
    <row r="151" spans="1:4" x14ac:dyDescent="0.2">
      <c r="A151" s="9" t="s">
        <v>502</v>
      </c>
      <c r="B151" s="5"/>
      <c r="C151" s="30">
        <v>27600</v>
      </c>
      <c r="D151" s="29"/>
    </row>
    <row r="152" spans="1:4" x14ac:dyDescent="0.2">
      <c r="A152" s="9" t="s">
        <v>232</v>
      </c>
      <c r="B152" s="5"/>
      <c r="C152" s="30">
        <v>5000000</v>
      </c>
      <c r="D152" s="29"/>
    </row>
    <row r="153" spans="1:4" x14ac:dyDescent="0.2">
      <c r="A153" s="7" t="s">
        <v>0</v>
      </c>
      <c r="B153" s="5"/>
      <c r="C153" s="29"/>
      <c r="D153" s="39">
        <f>SUM(C147:C152)</f>
        <v>5667000</v>
      </c>
    </row>
    <row r="154" spans="1:4" x14ac:dyDescent="0.2">
      <c r="A154" s="3"/>
      <c r="B154" s="4"/>
      <c r="C154" s="143"/>
      <c r="D154" s="34"/>
    </row>
    <row r="155" spans="1:4" x14ac:dyDescent="0.2">
      <c r="A155" s="178" t="s">
        <v>78</v>
      </c>
      <c r="B155" s="178"/>
      <c r="C155" s="29"/>
      <c r="D155" s="29"/>
    </row>
    <row r="156" spans="1:4" ht="36" customHeight="1" x14ac:dyDescent="0.2">
      <c r="A156" s="179" t="s">
        <v>24</v>
      </c>
      <c r="B156" s="179"/>
      <c r="C156" s="179"/>
      <c r="D156" s="180"/>
    </row>
    <row r="157" spans="1:4" x14ac:dyDescent="0.2">
      <c r="A157" s="9" t="s">
        <v>139</v>
      </c>
      <c r="B157" s="9" t="s">
        <v>79</v>
      </c>
      <c r="C157" s="30">
        <f>SUM(3500*123)</f>
        <v>430500</v>
      </c>
      <c r="D157" s="29"/>
    </row>
    <row r="158" spans="1:4" x14ac:dyDescent="0.2">
      <c r="A158" s="9" t="s">
        <v>140</v>
      </c>
      <c r="B158" s="9" t="s">
        <v>80</v>
      </c>
      <c r="C158" s="30">
        <f>SUM(1500*123)</f>
        <v>184500</v>
      </c>
      <c r="D158" s="29"/>
    </row>
    <row r="159" spans="1:4" x14ac:dyDescent="0.2">
      <c r="A159" s="9" t="s">
        <v>141</v>
      </c>
      <c r="B159" s="9" t="s">
        <v>347</v>
      </c>
      <c r="C159" s="30">
        <f>45000+15*2*123+50*123</f>
        <v>54840</v>
      </c>
      <c r="D159" s="29"/>
    </row>
    <row r="160" spans="1:4" x14ac:dyDescent="0.2">
      <c r="A160" s="9" t="s">
        <v>337</v>
      </c>
      <c r="B160" s="9" t="s">
        <v>63</v>
      </c>
      <c r="C160" s="30">
        <f>2000*123</f>
        <v>246000</v>
      </c>
      <c r="D160" s="29"/>
    </row>
    <row r="161" spans="1:4" x14ac:dyDescent="0.2">
      <c r="A161" s="9" t="s">
        <v>338</v>
      </c>
      <c r="B161" s="9" t="s">
        <v>339</v>
      </c>
      <c r="C161" s="30">
        <f>(900+700+75)*123</f>
        <v>206025</v>
      </c>
      <c r="D161" s="29"/>
    </row>
    <row r="162" spans="1:4" x14ac:dyDescent="0.2">
      <c r="A162" s="9" t="s">
        <v>340</v>
      </c>
      <c r="B162" s="9" t="s">
        <v>341</v>
      </c>
      <c r="C162" s="30">
        <f>1000*123</f>
        <v>123000</v>
      </c>
      <c r="D162" s="29"/>
    </row>
    <row r="163" spans="1:4" x14ac:dyDescent="0.2">
      <c r="A163" s="9" t="s">
        <v>342</v>
      </c>
      <c r="B163" s="9" t="s">
        <v>343</v>
      </c>
      <c r="C163" s="30">
        <f>1500*123</f>
        <v>184500</v>
      </c>
      <c r="D163" s="29"/>
    </row>
    <row r="164" spans="1:4" x14ac:dyDescent="0.2">
      <c r="A164" s="150" t="s">
        <v>0</v>
      </c>
      <c r="B164" s="127"/>
      <c r="C164" s="137"/>
      <c r="D164" s="133">
        <f>SUM(C157:C163)</f>
        <v>1429365</v>
      </c>
    </row>
    <row r="165" spans="1:4" x14ac:dyDescent="0.2">
      <c r="A165" s="3"/>
      <c r="B165" s="4"/>
      <c r="C165" s="143"/>
      <c r="D165" s="34"/>
    </row>
    <row r="166" spans="1:4" x14ac:dyDescent="0.2">
      <c r="A166" s="125" t="s">
        <v>81</v>
      </c>
      <c r="B166" s="5"/>
      <c r="C166" s="29"/>
      <c r="D166" s="29"/>
    </row>
    <row r="167" spans="1:4" ht="55" customHeight="1" x14ac:dyDescent="0.2">
      <c r="A167" s="181" t="s">
        <v>82</v>
      </c>
      <c r="B167" s="181"/>
      <c r="C167" s="181"/>
      <c r="D167" s="182"/>
    </row>
    <row r="168" spans="1:4" x14ac:dyDescent="0.2">
      <c r="A168" s="9" t="s">
        <v>25</v>
      </c>
      <c r="B168" s="9" t="s">
        <v>83</v>
      </c>
      <c r="C168" s="30">
        <f>SUM(11000*123)</f>
        <v>1353000</v>
      </c>
      <c r="D168" s="29"/>
    </row>
    <row r="169" spans="1:4" x14ac:dyDescent="0.2">
      <c r="A169" s="9" t="s">
        <v>13</v>
      </c>
      <c r="B169" s="9" t="s">
        <v>84</v>
      </c>
      <c r="C169" s="30">
        <f>SUM(15*3*123)</f>
        <v>5535</v>
      </c>
      <c r="D169" s="29"/>
    </row>
    <row r="170" spans="1:4" x14ac:dyDescent="0.2">
      <c r="A170" s="125" t="s">
        <v>166</v>
      </c>
      <c r="B170" s="9"/>
      <c r="C170" s="30"/>
      <c r="D170" s="29"/>
    </row>
    <row r="171" spans="1:4" x14ac:dyDescent="0.2">
      <c r="A171" s="9" t="s">
        <v>170</v>
      </c>
      <c r="B171" s="9" t="s">
        <v>167</v>
      </c>
      <c r="C171" s="30">
        <f>SUM(1.5*120*123*5)</f>
        <v>110700</v>
      </c>
      <c r="D171" s="29"/>
    </row>
    <row r="172" spans="1:4" x14ac:dyDescent="0.2">
      <c r="A172" s="9" t="s">
        <v>169</v>
      </c>
      <c r="B172" s="9" t="s">
        <v>168</v>
      </c>
      <c r="C172" s="30">
        <f>SUM(600*5*123)</f>
        <v>369000</v>
      </c>
      <c r="D172" s="29"/>
    </row>
    <row r="173" spans="1:4" x14ac:dyDescent="0.2">
      <c r="A173" s="2" t="s">
        <v>171</v>
      </c>
      <c r="B173" s="57">
        <v>127000</v>
      </c>
      <c r="C173" s="145">
        <v>127000</v>
      </c>
      <c r="D173" s="29"/>
    </row>
    <row r="174" spans="1:4" x14ac:dyDescent="0.2">
      <c r="A174" s="7" t="s">
        <v>0</v>
      </c>
      <c r="B174" s="5"/>
      <c r="C174" s="29"/>
      <c r="D174" s="32">
        <f>SUM(C168:C173)</f>
        <v>1965235</v>
      </c>
    </row>
    <row r="175" spans="1:4" x14ac:dyDescent="0.2">
      <c r="A175" s="3"/>
      <c r="B175" s="4"/>
      <c r="C175" s="143"/>
      <c r="D175" s="34"/>
    </row>
    <row r="176" spans="1:4" x14ac:dyDescent="0.2">
      <c r="A176" s="13" t="s">
        <v>345</v>
      </c>
      <c r="B176" s="14"/>
      <c r="C176" s="151"/>
      <c r="D176" s="41"/>
    </row>
    <row r="177" spans="1:4" x14ac:dyDescent="0.2">
      <c r="A177" s="15" t="s">
        <v>95</v>
      </c>
      <c r="B177" s="16" t="s">
        <v>151</v>
      </c>
      <c r="C177" s="151">
        <f>365*123</f>
        <v>44895</v>
      </c>
      <c r="D177" s="41"/>
    </row>
    <row r="178" spans="1:4" x14ac:dyDescent="0.2">
      <c r="A178" s="69" t="s">
        <v>344</v>
      </c>
      <c r="B178" s="16" t="s">
        <v>346</v>
      </c>
      <c r="C178" s="151">
        <f>4*100*123+45000</f>
        <v>94200</v>
      </c>
      <c r="D178" s="41"/>
    </row>
    <row r="179" spans="1:4" x14ac:dyDescent="0.2">
      <c r="A179" s="17" t="s">
        <v>76</v>
      </c>
      <c r="B179" s="14"/>
      <c r="C179" s="151"/>
      <c r="D179" s="42">
        <f>SUM(C177:C178)</f>
        <v>139095</v>
      </c>
    </row>
    <row r="180" spans="1:4" x14ac:dyDescent="0.2">
      <c r="A180" s="183"/>
      <c r="B180" s="183"/>
      <c r="C180" s="183"/>
      <c r="D180" s="183"/>
    </row>
    <row r="181" spans="1:4" x14ac:dyDescent="0.2">
      <c r="A181" s="184" t="s">
        <v>86</v>
      </c>
      <c r="B181" s="184"/>
      <c r="C181" s="43"/>
      <c r="D181" s="43"/>
    </row>
    <row r="182" spans="1:4" ht="81" customHeight="1" x14ac:dyDescent="0.2">
      <c r="A182" s="162" t="s">
        <v>99</v>
      </c>
      <c r="B182" s="162"/>
      <c r="C182" s="162"/>
      <c r="D182" s="174"/>
    </row>
    <row r="183" spans="1:4" x14ac:dyDescent="0.2">
      <c r="A183" s="28" t="s">
        <v>87</v>
      </c>
      <c r="B183" s="26" t="s">
        <v>88</v>
      </c>
      <c r="C183" s="36">
        <f>SUM(10000*123)</f>
        <v>1230000</v>
      </c>
      <c r="D183" s="43"/>
    </row>
    <row r="184" spans="1:4" x14ac:dyDescent="0.2">
      <c r="A184" s="28" t="s">
        <v>477</v>
      </c>
      <c r="B184" s="26" t="s">
        <v>31</v>
      </c>
      <c r="C184" s="36">
        <f>SUM(2500*123)</f>
        <v>307500</v>
      </c>
      <c r="D184" s="43"/>
    </row>
    <row r="185" spans="1:4" x14ac:dyDescent="0.2">
      <c r="A185" s="22" t="s">
        <v>0</v>
      </c>
      <c r="B185" s="23"/>
      <c r="C185" s="36"/>
      <c r="D185" s="39">
        <f>SUM(C183:C184)</f>
        <v>1537500</v>
      </c>
    </row>
    <row r="186" spans="1:4" x14ac:dyDescent="0.2">
      <c r="A186" s="152" t="s">
        <v>89</v>
      </c>
      <c r="B186" s="6"/>
      <c r="C186" s="30"/>
      <c r="D186" s="32"/>
    </row>
    <row r="187" spans="1:4" ht="54" customHeight="1" x14ac:dyDescent="0.2">
      <c r="A187" s="175" t="s">
        <v>90</v>
      </c>
      <c r="B187" s="175"/>
      <c r="C187" s="175"/>
      <c r="D187" s="175"/>
    </row>
    <row r="188" spans="1:4" x14ac:dyDescent="0.2">
      <c r="A188" s="153" t="s">
        <v>87</v>
      </c>
      <c r="B188" s="19" t="s">
        <v>85</v>
      </c>
      <c r="C188" s="30">
        <f>5000*123</f>
        <v>615000</v>
      </c>
      <c r="D188" s="32"/>
    </row>
    <row r="189" spans="1:4" x14ac:dyDescent="0.2">
      <c r="A189" s="17" t="s">
        <v>0</v>
      </c>
      <c r="B189" s="18"/>
      <c r="C189" s="154"/>
      <c r="D189" s="45">
        <f>C188</f>
        <v>615000</v>
      </c>
    </row>
    <row r="190" spans="1:4" x14ac:dyDescent="0.2">
      <c r="A190" s="20"/>
      <c r="B190" s="21"/>
      <c r="C190" s="155"/>
      <c r="D190" s="46"/>
    </row>
    <row r="191" spans="1:4" x14ac:dyDescent="0.2">
      <c r="A191" s="126" t="s">
        <v>233</v>
      </c>
      <c r="B191" s="53"/>
      <c r="C191" s="43"/>
      <c r="D191" s="43"/>
    </row>
    <row r="192" spans="1:4" ht="42" customHeight="1" x14ac:dyDescent="0.2">
      <c r="A192" s="176" t="s">
        <v>236</v>
      </c>
      <c r="B192" s="176"/>
      <c r="C192" s="176"/>
      <c r="D192" s="176"/>
    </row>
    <row r="193" spans="1:4" x14ac:dyDescent="0.2">
      <c r="A193" s="28" t="s">
        <v>91</v>
      </c>
      <c r="B193" s="53" t="s">
        <v>234</v>
      </c>
      <c r="C193" s="156">
        <f>37500*6*2</f>
        <v>450000</v>
      </c>
      <c r="D193" s="43"/>
    </row>
    <row r="194" spans="1:4" x14ac:dyDescent="0.2">
      <c r="A194" s="28" t="s">
        <v>92</v>
      </c>
      <c r="B194" s="53" t="s">
        <v>93</v>
      </c>
      <c r="C194" s="156">
        <f>1000*30*3*2</f>
        <v>180000</v>
      </c>
      <c r="D194" s="43"/>
    </row>
    <row r="195" spans="1:4" x14ac:dyDescent="0.2">
      <c r="A195" s="28" t="s">
        <v>235</v>
      </c>
      <c r="B195" s="53"/>
      <c r="C195" s="156">
        <v>220000</v>
      </c>
      <c r="D195" s="43"/>
    </row>
    <row r="196" spans="1:4" x14ac:dyDescent="0.2">
      <c r="A196" s="28" t="s">
        <v>229</v>
      </c>
      <c r="B196" s="53" t="s">
        <v>94</v>
      </c>
      <c r="C196" s="43">
        <f>800*123*2</f>
        <v>196800</v>
      </c>
      <c r="D196" s="43"/>
    </row>
    <row r="197" spans="1:4" x14ac:dyDescent="0.2">
      <c r="A197" s="60" t="s">
        <v>0</v>
      </c>
      <c r="B197" s="53"/>
      <c r="C197" s="43"/>
      <c r="D197" s="58">
        <f>SUM(C193:C196)</f>
        <v>1046800</v>
      </c>
    </row>
    <row r="198" spans="1:4" x14ac:dyDescent="0.2">
      <c r="A198" s="20"/>
      <c r="B198" s="21"/>
      <c r="C198" s="155"/>
      <c r="D198" s="46"/>
    </row>
    <row r="199" spans="1:4" x14ac:dyDescent="0.2">
      <c r="A199" s="134" t="s">
        <v>356</v>
      </c>
      <c r="B199" s="132"/>
      <c r="C199" s="130"/>
      <c r="D199" s="157"/>
    </row>
    <row r="200" spans="1:4" x14ac:dyDescent="0.2">
      <c r="A200" s="135" t="s">
        <v>357</v>
      </c>
      <c r="B200" s="132"/>
      <c r="C200" s="130"/>
      <c r="D200" s="157"/>
    </row>
    <row r="201" spans="1:4" ht="45" customHeight="1" x14ac:dyDescent="0.2">
      <c r="A201" s="168" t="s">
        <v>358</v>
      </c>
      <c r="B201" s="168"/>
      <c r="C201" s="168"/>
      <c r="D201" s="168"/>
    </row>
    <row r="202" spans="1:4" x14ac:dyDescent="0.2">
      <c r="A202" s="129" t="s">
        <v>359</v>
      </c>
      <c r="B202" s="132" t="s">
        <v>365</v>
      </c>
      <c r="C202" s="130">
        <v>321000</v>
      </c>
      <c r="D202" s="157"/>
    </row>
    <row r="203" spans="1:4" x14ac:dyDescent="0.2">
      <c r="A203" s="129" t="s">
        <v>360</v>
      </c>
      <c r="B203" s="132" t="s">
        <v>364</v>
      </c>
      <c r="C203" s="130">
        <v>100000</v>
      </c>
      <c r="D203" s="157"/>
    </row>
    <row r="204" spans="1:4" x14ac:dyDescent="0.2">
      <c r="A204" s="129" t="s">
        <v>361</v>
      </c>
      <c r="B204" s="132"/>
      <c r="C204" s="130">
        <v>30000</v>
      </c>
      <c r="D204" s="157"/>
    </row>
    <row r="205" spans="1:4" x14ac:dyDescent="0.2">
      <c r="A205" s="129" t="s">
        <v>362</v>
      </c>
      <c r="B205" s="132"/>
      <c r="C205" s="130">
        <v>40000</v>
      </c>
      <c r="D205" s="157"/>
    </row>
    <row r="206" spans="1:4" x14ac:dyDescent="0.2">
      <c r="A206" s="129" t="s">
        <v>363</v>
      </c>
      <c r="B206" s="132" t="s">
        <v>366</v>
      </c>
      <c r="C206" s="130">
        <v>60000</v>
      </c>
      <c r="D206" s="157"/>
    </row>
    <row r="207" spans="1:4" x14ac:dyDescent="0.2">
      <c r="A207" s="136" t="s">
        <v>0</v>
      </c>
      <c r="B207" s="132"/>
      <c r="C207" s="130"/>
      <c r="D207" s="157">
        <f>SUM(C202:C206)</f>
        <v>551000</v>
      </c>
    </row>
    <row r="208" spans="1:4" x14ac:dyDescent="0.2">
      <c r="A208" s="177"/>
      <c r="B208" s="177"/>
      <c r="C208" s="177"/>
      <c r="D208" s="177"/>
    </row>
    <row r="209" spans="1:4" x14ac:dyDescent="0.2">
      <c r="A209" s="126" t="s">
        <v>148</v>
      </c>
      <c r="B209" s="53"/>
      <c r="C209" s="43"/>
      <c r="D209" s="43"/>
    </row>
    <row r="210" spans="1:4" ht="52" customHeight="1" x14ac:dyDescent="0.2">
      <c r="A210" s="168" t="s">
        <v>100</v>
      </c>
      <c r="B210" s="191"/>
      <c r="C210" s="191"/>
      <c r="D210" s="191"/>
    </row>
    <row r="211" spans="1:4" x14ac:dyDescent="0.2">
      <c r="A211" s="53" t="s">
        <v>142</v>
      </c>
      <c r="B211" s="53" t="s">
        <v>145</v>
      </c>
      <c r="C211" s="43">
        <f>SUM(5500*123)</f>
        <v>676500</v>
      </c>
      <c r="D211" s="43"/>
    </row>
    <row r="212" spans="1:4" x14ac:dyDescent="0.2">
      <c r="A212" s="53" t="s">
        <v>143</v>
      </c>
      <c r="B212" s="53" t="s">
        <v>145</v>
      </c>
      <c r="C212" s="43">
        <f>SUM(5500*123)</f>
        <v>676500</v>
      </c>
      <c r="D212" s="43"/>
    </row>
    <row r="213" spans="1:4" x14ac:dyDescent="0.2">
      <c r="A213" s="53" t="s">
        <v>144</v>
      </c>
      <c r="B213" s="53" t="s">
        <v>146</v>
      </c>
      <c r="C213" s="43">
        <f>SUM(3000*123)</f>
        <v>369000</v>
      </c>
      <c r="D213" s="43"/>
    </row>
    <row r="214" spans="1:4" x14ac:dyDescent="0.2">
      <c r="A214" s="53" t="s">
        <v>147</v>
      </c>
      <c r="B214" s="53" t="s">
        <v>457</v>
      </c>
      <c r="C214" s="43">
        <f>SUM(2000*123*2)</f>
        <v>492000</v>
      </c>
      <c r="D214" s="43"/>
    </row>
    <row r="215" spans="1:4" x14ac:dyDescent="0.2">
      <c r="A215" s="60" t="s">
        <v>0</v>
      </c>
      <c r="B215" s="53"/>
      <c r="C215" s="43"/>
      <c r="D215" s="58">
        <f>SUM(C211:C214)</f>
        <v>2214000</v>
      </c>
    </row>
    <row r="216" spans="1:4" x14ac:dyDescent="0.2">
      <c r="A216" s="158"/>
      <c r="B216" s="158"/>
      <c r="C216" s="159"/>
      <c r="D216" s="159"/>
    </row>
    <row r="217" spans="1:4" x14ac:dyDescent="0.2">
      <c r="A217" s="125" t="s">
        <v>120</v>
      </c>
      <c r="B217" s="5"/>
      <c r="C217" s="29"/>
      <c r="D217" s="29"/>
    </row>
    <row r="218" spans="1:4" ht="69" customHeight="1" x14ac:dyDescent="0.2">
      <c r="A218" s="168" t="s">
        <v>212</v>
      </c>
      <c r="B218" s="168"/>
      <c r="C218" s="168"/>
      <c r="D218" s="168"/>
    </row>
    <row r="219" spans="1:4" x14ac:dyDescent="0.2">
      <c r="A219" s="9" t="s">
        <v>121</v>
      </c>
      <c r="B219" s="9" t="s">
        <v>491</v>
      </c>
      <c r="C219" s="43">
        <f>SUM(6195*123)</f>
        <v>761985</v>
      </c>
      <c r="D219" s="29"/>
    </row>
    <row r="220" spans="1:4" x14ac:dyDescent="0.2">
      <c r="A220" s="28" t="s">
        <v>59</v>
      </c>
      <c r="B220" s="28" t="s">
        <v>130</v>
      </c>
      <c r="C220" s="36">
        <f>SUM(100000*2)</f>
        <v>200000</v>
      </c>
      <c r="D220" s="29"/>
    </row>
    <row r="221" spans="1:4" x14ac:dyDescent="0.2">
      <c r="A221" s="9" t="s">
        <v>3</v>
      </c>
      <c r="B221" s="9" t="s">
        <v>213</v>
      </c>
      <c r="C221" s="29">
        <f>SUM(150*123*2*4)</f>
        <v>147600</v>
      </c>
      <c r="D221" s="29"/>
    </row>
    <row r="222" spans="1:4" x14ac:dyDescent="0.2">
      <c r="A222" s="9" t="s">
        <v>13</v>
      </c>
      <c r="B222" s="9" t="s">
        <v>214</v>
      </c>
      <c r="C222" s="30">
        <f>SUM(15*123*5*2)</f>
        <v>18450</v>
      </c>
      <c r="D222" s="29"/>
    </row>
    <row r="223" spans="1:4" x14ac:dyDescent="0.2">
      <c r="A223" s="9" t="s">
        <v>132</v>
      </c>
      <c r="B223" s="27">
        <v>127000</v>
      </c>
      <c r="C223" s="30">
        <v>127000</v>
      </c>
      <c r="D223" s="29"/>
    </row>
    <row r="224" spans="1:4" x14ac:dyDescent="0.2">
      <c r="A224" s="9" t="s">
        <v>131</v>
      </c>
      <c r="B224" s="27">
        <v>67000</v>
      </c>
      <c r="C224" s="30">
        <v>67000</v>
      </c>
      <c r="D224" s="29"/>
    </row>
    <row r="225" spans="1:4" x14ac:dyDescent="0.2">
      <c r="A225" s="7" t="s">
        <v>0</v>
      </c>
      <c r="B225" s="5"/>
      <c r="C225" s="29"/>
      <c r="D225" s="32">
        <f>SUM(C219:C224)</f>
        <v>1322035</v>
      </c>
    </row>
    <row r="226" spans="1:4" x14ac:dyDescent="0.2">
      <c r="A226" s="3"/>
      <c r="B226" s="4"/>
      <c r="C226" s="143"/>
      <c r="D226" s="34"/>
    </row>
    <row r="227" spans="1:4" x14ac:dyDescent="0.2">
      <c r="A227" s="126" t="s">
        <v>149</v>
      </c>
      <c r="B227" s="53"/>
      <c r="C227" s="43"/>
      <c r="D227" s="43"/>
    </row>
    <row r="228" spans="1:4" ht="99" customHeight="1" x14ac:dyDescent="0.2">
      <c r="A228" s="168" t="s">
        <v>152</v>
      </c>
      <c r="B228" s="191"/>
      <c r="C228" s="191"/>
      <c r="D228" s="191"/>
    </row>
    <row r="229" spans="1:4" x14ac:dyDescent="0.2">
      <c r="A229" s="53" t="s">
        <v>221</v>
      </c>
      <c r="B229" s="53" t="s">
        <v>150</v>
      </c>
      <c r="C229" s="43"/>
      <c r="D229" s="43"/>
    </row>
    <row r="230" spans="1:4" x14ac:dyDescent="0.2">
      <c r="A230" s="60" t="s">
        <v>0</v>
      </c>
      <c r="B230" s="53"/>
      <c r="C230" s="43"/>
      <c r="D230" s="58">
        <f>SUM(40000*123)</f>
        <v>4920000</v>
      </c>
    </row>
    <row r="231" spans="1:4" x14ac:dyDescent="0.2">
      <c r="A231" s="3"/>
      <c r="B231" s="4"/>
      <c r="C231" s="143"/>
      <c r="D231" s="34"/>
    </row>
    <row r="232" spans="1:4" x14ac:dyDescent="0.2">
      <c r="A232" s="134" t="s">
        <v>124</v>
      </c>
      <c r="B232" s="134"/>
      <c r="C232" s="132"/>
      <c r="D232" s="132"/>
    </row>
    <row r="233" spans="1:4" ht="43" customHeight="1" x14ac:dyDescent="0.2">
      <c r="A233" s="168" t="s">
        <v>173</v>
      </c>
      <c r="B233" s="168"/>
      <c r="C233" s="168"/>
      <c r="D233" s="189"/>
    </row>
    <row r="234" spans="1:4" x14ac:dyDescent="0.2">
      <c r="A234" s="129" t="s">
        <v>174</v>
      </c>
      <c r="B234" s="129"/>
      <c r="C234" s="130">
        <v>30000</v>
      </c>
      <c r="D234" s="130"/>
    </row>
    <row r="235" spans="1:4" x14ac:dyDescent="0.2">
      <c r="A235" s="129" t="s">
        <v>175</v>
      </c>
      <c r="B235" s="129"/>
      <c r="C235" s="130">
        <v>20000</v>
      </c>
      <c r="D235" s="130"/>
    </row>
    <row r="236" spans="1:4" x14ac:dyDescent="0.2">
      <c r="A236" s="129" t="s">
        <v>176</v>
      </c>
      <c r="B236" s="129"/>
      <c r="C236" s="130">
        <v>25000</v>
      </c>
      <c r="D236" s="130"/>
    </row>
    <row r="237" spans="1:4" x14ac:dyDescent="0.2">
      <c r="A237" s="129" t="s">
        <v>177</v>
      </c>
      <c r="B237" s="129"/>
      <c r="C237" s="130">
        <v>20000</v>
      </c>
      <c r="D237" s="130"/>
    </row>
    <row r="238" spans="1:4" x14ac:dyDescent="0.2">
      <c r="A238" s="129" t="s">
        <v>178</v>
      </c>
      <c r="B238" s="129"/>
      <c r="C238" s="130">
        <v>2000</v>
      </c>
      <c r="D238" s="130"/>
    </row>
    <row r="239" spans="1:4" x14ac:dyDescent="0.2">
      <c r="A239" s="129" t="s">
        <v>179</v>
      </c>
      <c r="B239" s="129"/>
      <c r="C239" s="130">
        <v>12000</v>
      </c>
      <c r="D239" s="130"/>
    </row>
    <row r="240" spans="1:4" x14ac:dyDescent="0.2">
      <c r="A240" s="129" t="s">
        <v>180</v>
      </c>
      <c r="B240" s="129" t="s">
        <v>181</v>
      </c>
      <c r="C240" s="130">
        <v>36000</v>
      </c>
      <c r="D240" s="130"/>
    </row>
    <row r="241" spans="1:4" x14ac:dyDescent="0.2">
      <c r="A241" s="129" t="s">
        <v>182</v>
      </c>
      <c r="B241" s="129" t="s">
        <v>183</v>
      </c>
      <c r="C241" s="130">
        <v>45000</v>
      </c>
      <c r="D241" s="130"/>
    </row>
    <row r="242" spans="1:4" x14ac:dyDescent="0.2">
      <c r="A242" s="129" t="s">
        <v>184</v>
      </c>
      <c r="B242" s="129" t="s">
        <v>185</v>
      </c>
      <c r="C242" s="130">
        <v>60000</v>
      </c>
      <c r="D242" s="130"/>
    </row>
    <row r="243" spans="1:4" x14ac:dyDescent="0.2">
      <c r="A243" s="129" t="s">
        <v>186</v>
      </c>
      <c r="B243" s="129" t="s">
        <v>187</v>
      </c>
      <c r="C243" s="130">
        <f>100*400</f>
        <v>40000</v>
      </c>
      <c r="D243" s="130"/>
    </row>
    <row r="244" spans="1:4" x14ac:dyDescent="0.2">
      <c r="A244" s="129" t="s">
        <v>188</v>
      </c>
      <c r="B244" s="129"/>
      <c r="C244" s="130">
        <v>15000</v>
      </c>
      <c r="D244" s="130"/>
    </row>
    <row r="245" spans="1:4" x14ac:dyDescent="0.2">
      <c r="A245" s="129" t="s">
        <v>189</v>
      </c>
      <c r="B245" s="129"/>
      <c r="C245" s="130">
        <v>10000</v>
      </c>
      <c r="D245" s="130"/>
    </row>
    <row r="246" spans="1:4" x14ac:dyDescent="0.2">
      <c r="A246" s="129" t="s">
        <v>190</v>
      </c>
      <c r="B246" s="129"/>
      <c r="C246" s="130">
        <v>25000</v>
      </c>
      <c r="D246" s="130"/>
    </row>
    <row r="247" spans="1:4" x14ac:dyDescent="0.2">
      <c r="A247" s="129" t="s">
        <v>191</v>
      </c>
      <c r="B247" s="129"/>
      <c r="C247" s="130">
        <v>40000</v>
      </c>
      <c r="D247" s="130"/>
    </row>
    <row r="248" spans="1:4" x14ac:dyDescent="0.2">
      <c r="A248" s="150" t="s">
        <v>0</v>
      </c>
      <c r="B248" s="132"/>
      <c r="C248" s="132"/>
      <c r="D248" s="133">
        <f>SUM(C234:C247)</f>
        <v>380000</v>
      </c>
    </row>
    <row r="249" spans="1:4" x14ac:dyDescent="0.2">
      <c r="A249" s="3"/>
      <c r="B249" s="4"/>
      <c r="C249" s="143"/>
      <c r="D249" s="34"/>
    </row>
    <row r="250" spans="1:4" x14ac:dyDescent="0.2">
      <c r="A250" s="134" t="s">
        <v>192</v>
      </c>
      <c r="B250" s="134"/>
      <c r="C250" s="132"/>
      <c r="D250" s="132"/>
    </row>
    <row r="251" spans="1:4" ht="54" customHeight="1" x14ac:dyDescent="0.2">
      <c r="A251" s="168" t="s">
        <v>193</v>
      </c>
      <c r="B251" s="168"/>
      <c r="C251" s="168"/>
      <c r="D251" s="192"/>
    </row>
    <row r="252" spans="1:4" x14ac:dyDescent="0.2">
      <c r="A252" s="139" t="s">
        <v>195</v>
      </c>
      <c r="B252" s="129" t="s">
        <v>196</v>
      </c>
      <c r="C252" s="130">
        <f>SUM(100*8*123)</f>
        <v>98400</v>
      </c>
      <c r="D252" s="130"/>
    </row>
    <row r="253" spans="1:4" x14ac:dyDescent="0.2">
      <c r="A253" s="129" t="s">
        <v>194</v>
      </c>
      <c r="B253" s="129" t="s">
        <v>197</v>
      </c>
      <c r="C253" s="130">
        <f>SUM(65*8*7*123)</f>
        <v>447720</v>
      </c>
      <c r="D253" s="130"/>
    </row>
    <row r="254" spans="1:4" x14ac:dyDescent="0.2">
      <c r="A254" s="129" t="s">
        <v>199</v>
      </c>
      <c r="B254" s="129" t="s">
        <v>198</v>
      </c>
      <c r="C254" s="130">
        <f>SUM(4000*8*6)</f>
        <v>192000</v>
      </c>
      <c r="D254" s="130"/>
    </row>
    <row r="255" spans="1:4" x14ac:dyDescent="0.2">
      <c r="A255" s="139" t="s">
        <v>200</v>
      </c>
      <c r="B255" s="129" t="s">
        <v>203</v>
      </c>
      <c r="C255" s="130">
        <f>SUM(300*2*123)</f>
        <v>73800</v>
      </c>
      <c r="D255" s="130"/>
    </row>
    <row r="256" spans="1:4" x14ac:dyDescent="0.2">
      <c r="A256" s="129" t="s">
        <v>201</v>
      </c>
      <c r="B256" s="129" t="s">
        <v>204</v>
      </c>
      <c r="C256" s="130">
        <f>SUM(65*2*7*123)</f>
        <v>111930</v>
      </c>
      <c r="D256" s="130"/>
    </row>
    <row r="257" spans="1:4" x14ac:dyDescent="0.2">
      <c r="A257" s="129" t="s">
        <v>202</v>
      </c>
      <c r="B257" s="129" t="s">
        <v>205</v>
      </c>
      <c r="C257" s="130">
        <f>SUM(4000*2*6)</f>
        <v>48000</v>
      </c>
      <c r="D257" s="130"/>
    </row>
    <row r="258" spans="1:4" x14ac:dyDescent="0.2">
      <c r="A258" s="129" t="s">
        <v>206</v>
      </c>
      <c r="B258" s="129" t="s">
        <v>207</v>
      </c>
      <c r="C258" s="130">
        <f>SUM(1500*3*123)</f>
        <v>553500</v>
      </c>
      <c r="D258" s="130"/>
    </row>
    <row r="259" spans="1:4" x14ac:dyDescent="0.2">
      <c r="A259" s="150" t="s">
        <v>0</v>
      </c>
      <c r="B259" s="132"/>
      <c r="C259" s="132"/>
      <c r="D259" s="133">
        <f>SUM(C252:C258)</f>
        <v>1525350</v>
      </c>
    </row>
    <row r="260" spans="1:4" x14ac:dyDescent="0.2">
      <c r="A260" s="3"/>
      <c r="B260" s="4"/>
      <c r="C260" s="143"/>
      <c r="D260" s="34"/>
    </row>
    <row r="261" spans="1:4" x14ac:dyDescent="0.2">
      <c r="A261" s="126" t="s">
        <v>226</v>
      </c>
      <c r="B261" s="126"/>
      <c r="C261" s="53"/>
      <c r="D261" s="53"/>
    </row>
    <row r="262" spans="1:4" ht="49" customHeight="1" x14ac:dyDescent="0.2">
      <c r="A262" s="168" t="s">
        <v>228</v>
      </c>
      <c r="B262" s="168"/>
      <c r="C262" s="168"/>
      <c r="D262" s="190"/>
    </row>
    <row r="263" spans="1:4" x14ac:dyDescent="0.2">
      <c r="A263" s="2" t="s">
        <v>492</v>
      </c>
      <c r="B263" s="28" t="s">
        <v>85</v>
      </c>
      <c r="C263" s="43">
        <f>SUM(5000*123)</f>
        <v>615000</v>
      </c>
      <c r="D263" s="43"/>
    </row>
    <row r="264" spans="1:4" x14ac:dyDescent="0.2">
      <c r="A264" s="53" t="s">
        <v>211</v>
      </c>
      <c r="B264" s="28" t="s">
        <v>50</v>
      </c>
      <c r="C264" s="43">
        <f>SUM(3000*123)</f>
        <v>369000</v>
      </c>
      <c r="D264" s="43"/>
    </row>
    <row r="265" spans="1:4" x14ac:dyDescent="0.2">
      <c r="A265" s="28" t="s">
        <v>493</v>
      </c>
      <c r="B265" s="28"/>
      <c r="C265" s="43">
        <v>127000</v>
      </c>
      <c r="D265" s="43"/>
    </row>
    <row r="266" spans="1:4" x14ac:dyDescent="0.2">
      <c r="A266" s="28" t="s">
        <v>208</v>
      </c>
      <c r="B266" s="28"/>
      <c r="C266" s="43">
        <v>20000</v>
      </c>
      <c r="D266" s="43"/>
    </row>
    <row r="267" spans="1:4" x14ac:dyDescent="0.2">
      <c r="A267" s="53" t="s">
        <v>209</v>
      </c>
      <c r="B267" s="28"/>
      <c r="C267" s="43">
        <v>70000</v>
      </c>
      <c r="D267" s="43"/>
    </row>
    <row r="268" spans="1:4" x14ac:dyDescent="0.2">
      <c r="A268" s="160" t="s">
        <v>494</v>
      </c>
      <c r="B268" s="132" t="s">
        <v>495</v>
      </c>
      <c r="C268" s="130">
        <f>SUM(4000*123)</f>
        <v>492000</v>
      </c>
      <c r="D268" s="130"/>
    </row>
    <row r="269" spans="1:4" x14ac:dyDescent="0.2">
      <c r="A269" s="7" t="s">
        <v>0</v>
      </c>
      <c r="B269" s="53"/>
      <c r="C269" s="53"/>
      <c r="D269" s="39">
        <f>SUM(C263:C268)</f>
        <v>1693000</v>
      </c>
    </row>
    <row r="270" spans="1:4" x14ac:dyDescent="0.2">
      <c r="A270" s="3"/>
      <c r="B270" s="4"/>
      <c r="C270" s="143"/>
      <c r="D270" s="34"/>
    </row>
    <row r="271" spans="1:4" x14ac:dyDescent="0.2">
      <c r="A271" s="134" t="s">
        <v>237</v>
      </c>
      <c r="B271" s="127"/>
      <c r="C271" s="137"/>
      <c r="D271" s="137"/>
    </row>
    <row r="272" spans="1:4" ht="56" customHeight="1" x14ac:dyDescent="0.2">
      <c r="A272" s="168" t="s">
        <v>238</v>
      </c>
      <c r="B272" s="168"/>
      <c r="C272" s="168"/>
      <c r="D272" s="168"/>
    </row>
    <row r="273" spans="1:4" x14ac:dyDescent="0.2">
      <c r="A273" s="129" t="s">
        <v>59</v>
      </c>
      <c r="B273" s="129" t="s">
        <v>239</v>
      </c>
      <c r="C273" s="110">
        <f>SUM(35000*10)</f>
        <v>350000</v>
      </c>
      <c r="D273" s="137"/>
    </row>
    <row r="274" spans="1:4" x14ac:dyDescent="0.2">
      <c r="A274" s="138" t="s">
        <v>3</v>
      </c>
      <c r="B274" s="138" t="s">
        <v>227</v>
      </c>
      <c r="C274" s="137">
        <f>SUM(150*123*3*10)</f>
        <v>553500</v>
      </c>
      <c r="D274" s="137"/>
    </row>
    <row r="275" spans="1:4" x14ac:dyDescent="0.2">
      <c r="A275" s="139" t="s">
        <v>114</v>
      </c>
      <c r="B275" s="139" t="s">
        <v>43</v>
      </c>
      <c r="C275" s="140">
        <f>SUM(4000*123)</f>
        <v>492000</v>
      </c>
      <c r="D275" s="137"/>
    </row>
    <row r="276" spans="1:4" x14ac:dyDescent="0.2">
      <c r="A276" s="138" t="s">
        <v>240</v>
      </c>
      <c r="B276" s="138" t="s">
        <v>241</v>
      </c>
      <c r="C276" s="140">
        <f>SUM(30*3*2*3000)</f>
        <v>540000</v>
      </c>
      <c r="D276" s="137"/>
    </row>
    <row r="277" spans="1:4" x14ac:dyDescent="0.2">
      <c r="A277" s="150" t="s">
        <v>0</v>
      </c>
      <c r="B277" s="127"/>
      <c r="C277" s="137"/>
      <c r="D277" s="141">
        <f>SUM(C273:C276)</f>
        <v>1935500</v>
      </c>
    </row>
    <row r="278" spans="1:4" x14ac:dyDescent="0.2">
      <c r="A278" s="3"/>
      <c r="B278" s="4"/>
      <c r="C278" s="143"/>
      <c r="D278" s="34"/>
    </row>
    <row r="279" spans="1:4" x14ac:dyDescent="0.2">
      <c r="A279" s="2"/>
      <c r="B279" s="68" t="s">
        <v>215</v>
      </c>
      <c r="C279" s="161"/>
      <c r="D279" s="59">
        <f>SUM(D277+D269+D259+D248+D230+D225+D215+D197+D189+D185+D179+D174+D164+D153+D143+D127+D117+D111+D102+D81+D59+D47+D36+D207)</f>
        <v>66681813</v>
      </c>
    </row>
    <row r="280" spans="1:4" x14ac:dyDescent="0.2">
      <c r="A280" s="3"/>
      <c r="B280" s="4"/>
      <c r="C280" s="33"/>
      <c r="D280" s="34"/>
    </row>
    <row r="281" spans="1:4" x14ac:dyDescent="0.2">
      <c r="A281" s="165" t="s">
        <v>459</v>
      </c>
      <c r="B281" s="165"/>
      <c r="C281" s="43"/>
      <c r="D281" s="44"/>
    </row>
    <row r="282" spans="1:4" ht="324.75" customHeight="1" x14ac:dyDescent="0.2">
      <c r="A282" s="162" t="s">
        <v>454</v>
      </c>
      <c r="B282" s="162"/>
      <c r="C282" s="162"/>
      <c r="D282" s="163"/>
    </row>
    <row r="283" spans="1:4" x14ac:dyDescent="0.2">
      <c r="A283" s="102" t="s">
        <v>308</v>
      </c>
      <c r="B283" s="102"/>
      <c r="C283" s="53"/>
      <c r="D283" s="24"/>
    </row>
    <row r="284" spans="1:4" ht="15.75" customHeight="1" x14ac:dyDescent="0.2">
      <c r="A284" s="168"/>
      <c r="B284" s="168"/>
      <c r="C284" s="168"/>
      <c r="D284" s="169"/>
    </row>
    <row r="285" spans="1:4" x14ac:dyDescent="0.2">
      <c r="A285" s="24" t="s">
        <v>309</v>
      </c>
      <c r="B285" s="28" t="s">
        <v>311</v>
      </c>
      <c r="C285" s="43">
        <f>75000*12</f>
        <v>900000</v>
      </c>
      <c r="D285" s="43"/>
    </row>
    <row r="286" spans="1:4" ht="32" x14ac:dyDescent="0.2">
      <c r="A286" s="28" t="s">
        <v>310</v>
      </c>
      <c r="B286" s="28" t="s">
        <v>312</v>
      </c>
      <c r="C286" s="43">
        <f>35600*12</f>
        <v>427200</v>
      </c>
      <c r="D286" s="43"/>
    </row>
    <row r="287" spans="1:4" x14ac:dyDescent="0.2">
      <c r="A287" s="28" t="s">
        <v>317</v>
      </c>
      <c r="B287" s="28" t="s">
        <v>313</v>
      </c>
      <c r="C287" s="43">
        <f>12000*12</f>
        <v>144000</v>
      </c>
      <c r="D287" s="43"/>
    </row>
    <row r="288" spans="1:4" x14ac:dyDescent="0.2">
      <c r="A288" s="28" t="s">
        <v>242</v>
      </c>
      <c r="B288" s="28" t="s">
        <v>316</v>
      </c>
      <c r="C288" s="43">
        <v>243980</v>
      </c>
      <c r="D288" s="43"/>
    </row>
    <row r="289" spans="1:4" x14ac:dyDescent="0.2">
      <c r="A289" s="28" t="s">
        <v>318</v>
      </c>
      <c r="B289" s="28" t="s">
        <v>312</v>
      </c>
      <c r="C289" s="43">
        <f>35600*12</f>
        <v>427200</v>
      </c>
      <c r="D289" s="43"/>
    </row>
    <row r="290" spans="1:4" x14ac:dyDescent="0.2">
      <c r="A290" s="28" t="s">
        <v>314</v>
      </c>
      <c r="B290" s="28" t="s">
        <v>315</v>
      </c>
      <c r="C290" s="43">
        <f>20000*12</f>
        <v>240000</v>
      </c>
      <c r="D290" s="43"/>
    </row>
    <row r="291" spans="1:4" x14ac:dyDescent="0.2">
      <c r="A291" s="52" t="s">
        <v>0</v>
      </c>
      <c r="B291" s="24"/>
      <c r="C291" s="24"/>
      <c r="D291" s="39">
        <f>SUM(C285:C290)</f>
        <v>2382380</v>
      </c>
    </row>
    <row r="292" spans="1:4" x14ac:dyDescent="0.2">
      <c r="A292" s="61"/>
      <c r="B292" s="62"/>
      <c r="C292" s="63"/>
      <c r="D292" s="64"/>
    </row>
    <row r="293" spans="1:4" x14ac:dyDescent="0.2">
      <c r="A293" s="102" t="s">
        <v>244</v>
      </c>
      <c r="B293" s="102"/>
      <c r="C293" s="53"/>
      <c r="D293" s="24"/>
    </row>
    <row r="294" spans="1:4" ht="34.5" customHeight="1" x14ac:dyDescent="0.2">
      <c r="A294" s="168" t="s">
        <v>245</v>
      </c>
      <c r="B294" s="168"/>
      <c r="C294" s="168"/>
      <c r="D294" s="169"/>
    </row>
    <row r="295" spans="1:4" x14ac:dyDescent="0.2">
      <c r="A295" s="24" t="s">
        <v>246</v>
      </c>
      <c r="B295" s="28" t="s">
        <v>257</v>
      </c>
      <c r="C295" s="43">
        <f>15*127*2*4*2</f>
        <v>30480</v>
      </c>
      <c r="D295" s="43"/>
    </row>
    <row r="296" spans="1:4" x14ac:dyDescent="0.2">
      <c r="A296" s="28" t="s">
        <v>251</v>
      </c>
      <c r="B296" s="28" t="s">
        <v>258</v>
      </c>
      <c r="C296" s="43">
        <f>50*127*2*4*2</f>
        <v>101600</v>
      </c>
      <c r="D296" s="43"/>
    </row>
    <row r="297" spans="1:4" x14ac:dyDescent="0.2">
      <c r="A297" s="28" t="s">
        <v>247</v>
      </c>
      <c r="B297" s="28" t="s">
        <v>250</v>
      </c>
      <c r="C297" s="43">
        <f>250*127*2*2</f>
        <v>127000</v>
      </c>
      <c r="D297" s="43"/>
    </row>
    <row r="298" spans="1:4" x14ac:dyDescent="0.2">
      <c r="A298" s="52" t="s">
        <v>0</v>
      </c>
      <c r="B298" s="24"/>
      <c r="C298" s="24"/>
      <c r="D298" s="39">
        <f>SUM(C295:C297)</f>
        <v>259080</v>
      </c>
    </row>
    <row r="299" spans="1:4" x14ac:dyDescent="0.2">
      <c r="A299" s="61"/>
      <c r="B299" s="62"/>
      <c r="C299" s="63"/>
      <c r="D299" s="64"/>
    </row>
    <row r="300" spans="1:4" x14ac:dyDescent="0.2">
      <c r="A300" s="102" t="s">
        <v>248</v>
      </c>
      <c r="B300" s="102"/>
      <c r="C300" s="53"/>
      <c r="D300" s="24"/>
    </row>
    <row r="301" spans="1:4" ht="22.5" customHeight="1" x14ac:dyDescent="0.2">
      <c r="A301" s="168" t="s">
        <v>249</v>
      </c>
      <c r="B301" s="168"/>
      <c r="C301" s="168"/>
      <c r="D301" s="169"/>
    </row>
    <row r="302" spans="1:4" x14ac:dyDescent="0.2">
      <c r="A302" s="24" t="s">
        <v>255</v>
      </c>
      <c r="B302" s="28" t="s">
        <v>253</v>
      </c>
      <c r="C302" s="43">
        <f>15*127*16*1</f>
        <v>30480</v>
      </c>
      <c r="D302" s="43"/>
    </row>
    <row r="303" spans="1:4" x14ac:dyDescent="0.2">
      <c r="A303" s="28" t="s">
        <v>254</v>
      </c>
      <c r="B303" s="28" t="s">
        <v>256</v>
      </c>
      <c r="C303" s="43">
        <f>65*1*16*127</f>
        <v>132080</v>
      </c>
      <c r="D303" s="43"/>
    </row>
    <row r="304" spans="1:4" x14ac:dyDescent="0.2">
      <c r="A304" s="28" t="s">
        <v>252</v>
      </c>
      <c r="B304" s="28" t="s">
        <v>261</v>
      </c>
      <c r="C304" s="43">
        <f>250*127*1*4</f>
        <v>127000</v>
      </c>
      <c r="D304" s="43"/>
    </row>
    <row r="305" spans="1:4" x14ac:dyDescent="0.2">
      <c r="A305" s="28" t="s">
        <v>259</v>
      </c>
      <c r="B305" s="28" t="s">
        <v>260</v>
      </c>
      <c r="C305" s="43">
        <f>800*127*2</f>
        <v>203200</v>
      </c>
      <c r="D305" s="43"/>
    </row>
    <row r="306" spans="1:4" x14ac:dyDescent="0.2">
      <c r="A306" s="52" t="s">
        <v>0</v>
      </c>
      <c r="B306" s="24"/>
      <c r="C306" s="24"/>
      <c r="D306" s="39">
        <f>SUM(C302:C305)</f>
        <v>492760</v>
      </c>
    </row>
    <row r="307" spans="1:4" x14ac:dyDescent="0.2">
      <c r="A307" s="61"/>
      <c r="B307" s="62"/>
      <c r="C307" s="63"/>
      <c r="D307" s="64"/>
    </row>
    <row r="308" spans="1:4" x14ac:dyDescent="0.2">
      <c r="A308" s="102" t="s">
        <v>269</v>
      </c>
      <c r="B308" s="53"/>
      <c r="C308" s="44"/>
      <c r="D308" s="43"/>
    </row>
    <row r="309" spans="1:4" x14ac:dyDescent="0.2">
      <c r="A309" s="168" t="s">
        <v>262</v>
      </c>
      <c r="B309" s="168"/>
      <c r="C309" s="168"/>
      <c r="D309" s="168"/>
    </row>
    <row r="310" spans="1:4" x14ac:dyDescent="0.2">
      <c r="A310" s="25" t="s">
        <v>264</v>
      </c>
      <c r="B310" s="28" t="s">
        <v>263</v>
      </c>
      <c r="C310" s="36">
        <f>20*12*1*127</f>
        <v>30480</v>
      </c>
      <c r="D310" s="44"/>
    </row>
    <row r="311" spans="1:4" x14ac:dyDescent="0.2">
      <c r="A311" s="28" t="s">
        <v>319</v>
      </c>
      <c r="B311" s="28" t="s">
        <v>332</v>
      </c>
      <c r="C311" s="43">
        <f>20*3*1*4*127</f>
        <v>30480</v>
      </c>
      <c r="D311" s="44"/>
    </row>
    <row r="312" spans="1:4" x14ac:dyDescent="0.2">
      <c r="A312" s="24" t="s">
        <v>320</v>
      </c>
      <c r="B312" s="28" t="s">
        <v>265</v>
      </c>
      <c r="C312" s="36">
        <f>50*4*1*127</f>
        <v>25400</v>
      </c>
      <c r="D312" s="44"/>
    </row>
    <row r="313" spans="1:4" x14ac:dyDescent="0.2">
      <c r="A313" s="24" t="s">
        <v>266</v>
      </c>
      <c r="B313" s="28" t="s">
        <v>267</v>
      </c>
      <c r="C313" s="36">
        <f>700*4*127</f>
        <v>355600</v>
      </c>
      <c r="D313" s="44"/>
    </row>
    <row r="314" spans="1:4" x14ac:dyDescent="0.2">
      <c r="A314" s="25" t="s">
        <v>268</v>
      </c>
      <c r="B314" s="28" t="s">
        <v>321</v>
      </c>
      <c r="C314" s="36">
        <f>10*4*50*127</f>
        <v>254000</v>
      </c>
      <c r="D314" s="44"/>
    </row>
    <row r="315" spans="1:4" x14ac:dyDescent="0.2">
      <c r="A315" s="52" t="s">
        <v>0</v>
      </c>
      <c r="B315" s="53"/>
      <c r="C315" s="44"/>
      <c r="D315" s="39">
        <f>SUM(C310:C314)</f>
        <v>695960</v>
      </c>
    </row>
    <row r="316" spans="1:4" x14ac:dyDescent="0.2">
      <c r="A316" s="61"/>
      <c r="B316" s="62"/>
      <c r="C316" s="63"/>
      <c r="D316" s="64"/>
    </row>
    <row r="317" spans="1:4" x14ac:dyDescent="0.2">
      <c r="A317" s="102" t="s">
        <v>270</v>
      </c>
      <c r="B317" s="53"/>
      <c r="C317" s="44"/>
      <c r="D317" s="43"/>
    </row>
    <row r="318" spans="1:4" x14ac:dyDescent="0.2">
      <c r="A318" s="168" t="s">
        <v>271</v>
      </c>
      <c r="B318" s="168"/>
      <c r="C318" s="168"/>
      <c r="D318" s="168"/>
    </row>
    <row r="319" spans="1:4" x14ac:dyDescent="0.2">
      <c r="A319" s="25" t="s">
        <v>272</v>
      </c>
      <c r="B319" s="28" t="s">
        <v>273</v>
      </c>
      <c r="C319" s="36">
        <f>5*127*4*25</f>
        <v>63500</v>
      </c>
      <c r="D319" s="44"/>
    </row>
    <row r="320" spans="1:4" x14ac:dyDescent="0.2">
      <c r="A320" s="52" t="s">
        <v>0</v>
      </c>
      <c r="B320" s="53"/>
      <c r="C320" s="44"/>
      <c r="D320" s="39">
        <f>SUM(C319:C319)</f>
        <v>63500</v>
      </c>
    </row>
    <row r="321" spans="1:4" x14ac:dyDescent="0.2">
      <c r="A321" s="61"/>
      <c r="B321" s="62"/>
      <c r="C321" s="63"/>
      <c r="D321" s="64"/>
    </row>
    <row r="322" spans="1:4" x14ac:dyDescent="0.2">
      <c r="A322" s="165" t="s">
        <v>283</v>
      </c>
      <c r="B322" s="165"/>
      <c r="C322" s="43"/>
      <c r="D322" s="44"/>
    </row>
    <row r="323" spans="1:4" ht="47.25" customHeight="1" x14ac:dyDescent="0.2">
      <c r="A323" s="166" t="s">
        <v>274</v>
      </c>
      <c r="B323" s="166"/>
      <c r="C323" s="166"/>
      <c r="D323" s="167"/>
    </row>
    <row r="324" spans="1:4" x14ac:dyDescent="0.2">
      <c r="A324" s="28" t="s">
        <v>322</v>
      </c>
      <c r="B324" s="28" t="s">
        <v>275</v>
      </c>
      <c r="C324" s="36">
        <f>350*127*3*2</f>
        <v>266700</v>
      </c>
      <c r="D324" s="65"/>
    </row>
    <row r="325" spans="1:4" x14ac:dyDescent="0.2">
      <c r="A325" s="28" t="s">
        <v>323</v>
      </c>
      <c r="B325" s="28" t="s">
        <v>333</v>
      </c>
      <c r="C325" s="36">
        <f>65*2*3*2*127</f>
        <v>99060</v>
      </c>
      <c r="D325" s="65"/>
    </row>
    <row r="326" spans="1:4" x14ac:dyDescent="0.2">
      <c r="A326" s="28" t="s">
        <v>276</v>
      </c>
      <c r="B326" s="28" t="s">
        <v>334</v>
      </c>
      <c r="C326" s="36">
        <f>30*2*10*127</f>
        <v>76200</v>
      </c>
      <c r="D326" s="65"/>
    </row>
    <row r="327" spans="1:4" x14ac:dyDescent="0.2">
      <c r="A327" s="28" t="s">
        <v>277</v>
      </c>
      <c r="B327" s="28" t="s">
        <v>335</v>
      </c>
      <c r="C327" s="36">
        <f>300*3*2*127</f>
        <v>228600</v>
      </c>
      <c r="D327" s="65"/>
    </row>
    <row r="328" spans="1:4" x14ac:dyDescent="0.2">
      <c r="A328" s="28" t="s">
        <v>243</v>
      </c>
      <c r="B328" s="28" t="s">
        <v>278</v>
      </c>
      <c r="C328" s="36">
        <f>700*127*2</f>
        <v>177800</v>
      </c>
      <c r="D328" s="65"/>
    </row>
    <row r="329" spans="1:4" x14ac:dyDescent="0.2">
      <c r="A329" s="28" t="s">
        <v>279</v>
      </c>
      <c r="B329" s="28" t="s">
        <v>280</v>
      </c>
      <c r="C329" s="36">
        <f>30*2*15*127</f>
        <v>114300</v>
      </c>
      <c r="D329" s="65"/>
    </row>
    <row r="330" spans="1:4" x14ac:dyDescent="0.2">
      <c r="A330" s="28" t="s">
        <v>281</v>
      </c>
      <c r="B330" s="28" t="s">
        <v>282</v>
      </c>
      <c r="C330" s="36">
        <f>250*2*127</f>
        <v>63500</v>
      </c>
      <c r="D330" s="65"/>
    </row>
    <row r="331" spans="1:4" x14ac:dyDescent="0.2">
      <c r="A331" s="66" t="s">
        <v>0</v>
      </c>
      <c r="B331" s="66"/>
      <c r="C331" s="36"/>
      <c r="D331" s="39">
        <f>SUM(C324:C330)</f>
        <v>1026160</v>
      </c>
    </row>
    <row r="332" spans="1:4" x14ac:dyDescent="0.2">
      <c r="A332" s="61"/>
      <c r="B332" s="62"/>
      <c r="C332" s="63"/>
      <c r="D332" s="64"/>
    </row>
    <row r="333" spans="1:4" x14ac:dyDescent="0.2">
      <c r="A333" s="102" t="s">
        <v>288</v>
      </c>
      <c r="B333" s="102"/>
      <c r="C333" s="53"/>
      <c r="D333" s="24"/>
    </row>
    <row r="334" spans="1:4" x14ac:dyDescent="0.2">
      <c r="A334" s="168" t="s">
        <v>284</v>
      </c>
      <c r="B334" s="168"/>
      <c r="C334" s="168"/>
      <c r="D334" s="169"/>
    </row>
    <row r="335" spans="1:4" x14ac:dyDescent="0.2">
      <c r="A335" s="24" t="s">
        <v>324</v>
      </c>
      <c r="B335" s="28" t="s">
        <v>325</v>
      </c>
      <c r="C335" s="43">
        <f>20*2*4*1*127</f>
        <v>20320</v>
      </c>
      <c r="D335" s="43"/>
    </row>
    <row r="336" spans="1:4" x14ac:dyDescent="0.2">
      <c r="A336" s="24" t="s">
        <v>326</v>
      </c>
      <c r="B336" s="28" t="s">
        <v>336</v>
      </c>
      <c r="C336" s="43">
        <f>50*1*4*127</f>
        <v>25400</v>
      </c>
      <c r="D336" s="43"/>
    </row>
    <row r="337" spans="1:4" x14ac:dyDescent="0.2">
      <c r="A337" s="24" t="s">
        <v>327</v>
      </c>
      <c r="B337" s="28" t="s">
        <v>285</v>
      </c>
      <c r="C337" s="43">
        <f>50*4*1*127</f>
        <v>25400</v>
      </c>
      <c r="D337" s="43"/>
    </row>
    <row r="338" spans="1:4" x14ac:dyDescent="0.2">
      <c r="A338" s="52" t="s">
        <v>0</v>
      </c>
      <c r="B338" s="24"/>
      <c r="C338" s="24"/>
      <c r="D338" s="39">
        <f>SUM(C335:C337)</f>
        <v>71120</v>
      </c>
    </row>
    <row r="339" spans="1:4" x14ac:dyDescent="0.2">
      <c r="A339" s="61"/>
      <c r="B339" s="62"/>
      <c r="C339" s="63"/>
      <c r="D339" s="64"/>
    </row>
    <row r="340" spans="1:4" x14ac:dyDescent="0.2">
      <c r="A340" s="102" t="s">
        <v>287</v>
      </c>
      <c r="B340" s="53"/>
      <c r="C340" s="44"/>
      <c r="D340" s="43"/>
    </row>
    <row r="341" spans="1:4" ht="32.25" customHeight="1" x14ac:dyDescent="0.2">
      <c r="A341" s="168" t="s">
        <v>286</v>
      </c>
      <c r="B341" s="168"/>
      <c r="C341" s="168"/>
      <c r="D341" s="168"/>
    </row>
    <row r="342" spans="1:4" x14ac:dyDescent="0.2">
      <c r="A342" s="24" t="s">
        <v>328</v>
      </c>
      <c r="B342" s="28" t="s">
        <v>329</v>
      </c>
      <c r="C342" s="36">
        <f>15*7*4*127</f>
        <v>53340</v>
      </c>
      <c r="D342" s="44"/>
    </row>
    <row r="343" spans="1:4" x14ac:dyDescent="0.2">
      <c r="A343" s="24" t="s">
        <v>330</v>
      </c>
      <c r="B343" s="28" t="s">
        <v>289</v>
      </c>
      <c r="C343" s="43">
        <f>350*1*4*127</f>
        <v>177800</v>
      </c>
      <c r="D343" s="44"/>
    </row>
    <row r="344" spans="1:4" x14ac:dyDescent="0.2">
      <c r="A344" s="24" t="s">
        <v>331</v>
      </c>
      <c r="B344" s="28" t="s">
        <v>290</v>
      </c>
      <c r="C344" s="43">
        <f>50*28*1*127</f>
        <v>177800</v>
      </c>
      <c r="D344" s="44"/>
    </row>
    <row r="345" spans="1:4" x14ac:dyDescent="0.2">
      <c r="A345" s="52" t="s">
        <v>0</v>
      </c>
      <c r="B345" s="53"/>
      <c r="C345" s="44"/>
      <c r="D345" s="39">
        <f>SUM(C342:C344)</f>
        <v>408940</v>
      </c>
    </row>
    <row r="346" spans="1:4" x14ac:dyDescent="0.2">
      <c r="A346" s="61"/>
      <c r="B346" s="62"/>
      <c r="C346" s="63"/>
      <c r="D346" s="64"/>
    </row>
    <row r="347" spans="1:4" x14ac:dyDescent="0.2">
      <c r="A347" s="102" t="s">
        <v>292</v>
      </c>
      <c r="B347" s="53"/>
      <c r="C347" s="44"/>
      <c r="D347" s="43"/>
    </row>
    <row r="348" spans="1:4" x14ac:dyDescent="0.2">
      <c r="A348" s="168" t="s">
        <v>291</v>
      </c>
      <c r="B348" s="168"/>
      <c r="C348" s="168"/>
      <c r="D348" s="168"/>
    </row>
    <row r="349" spans="1:4" x14ac:dyDescent="0.2">
      <c r="A349" s="25" t="s">
        <v>208</v>
      </c>
      <c r="B349" s="28" t="s">
        <v>294</v>
      </c>
      <c r="C349" s="36">
        <f>150*1*127</f>
        <v>19050</v>
      </c>
      <c r="D349" s="44"/>
    </row>
    <row r="350" spans="1:4" x14ac:dyDescent="0.2">
      <c r="A350" s="25" t="s">
        <v>293</v>
      </c>
      <c r="B350" s="28" t="s">
        <v>294</v>
      </c>
      <c r="C350" s="36">
        <f>150*1*127</f>
        <v>19050</v>
      </c>
      <c r="D350" s="44"/>
    </row>
    <row r="351" spans="1:4" x14ac:dyDescent="0.2">
      <c r="A351" s="24" t="s">
        <v>210</v>
      </c>
      <c r="B351" s="28" t="s">
        <v>295</v>
      </c>
      <c r="C351" s="36">
        <f>300*1*127</f>
        <v>38100</v>
      </c>
      <c r="D351" s="44"/>
    </row>
    <row r="352" spans="1:4" x14ac:dyDescent="0.2">
      <c r="A352" s="25" t="s">
        <v>297</v>
      </c>
      <c r="B352" s="28" t="s">
        <v>296</v>
      </c>
      <c r="C352" s="36">
        <f>500*127</f>
        <v>63500</v>
      </c>
      <c r="D352" s="44"/>
    </row>
    <row r="353" spans="1:4" x14ac:dyDescent="0.2">
      <c r="A353" s="52" t="s">
        <v>0</v>
      </c>
      <c r="B353" s="53"/>
      <c r="C353" s="44"/>
      <c r="D353" s="39">
        <f>SUM(C349:C352)</f>
        <v>139700</v>
      </c>
    </row>
    <row r="354" spans="1:4" x14ac:dyDescent="0.2">
      <c r="A354" s="61"/>
      <c r="B354" s="62"/>
      <c r="C354" s="63"/>
      <c r="D354" s="64"/>
    </row>
    <row r="355" spans="1:4" x14ac:dyDescent="0.2">
      <c r="A355" s="165" t="s">
        <v>298</v>
      </c>
      <c r="B355" s="165"/>
      <c r="C355" s="43"/>
      <c r="D355" s="44"/>
    </row>
    <row r="356" spans="1:4" ht="39.75" customHeight="1" x14ac:dyDescent="0.2">
      <c r="A356" s="166" t="s">
        <v>299</v>
      </c>
      <c r="B356" s="166"/>
      <c r="C356" s="166"/>
      <c r="D356" s="167"/>
    </row>
    <row r="357" spans="1:4" x14ac:dyDescent="0.2">
      <c r="A357" s="28" t="s">
        <v>301</v>
      </c>
      <c r="B357" s="28" t="s">
        <v>302</v>
      </c>
      <c r="C357" s="36">
        <f>1000*127</f>
        <v>127000</v>
      </c>
      <c r="D357" s="65"/>
    </row>
    <row r="358" spans="1:4" x14ac:dyDescent="0.2">
      <c r="A358" s="28" t="s">
        <v>300</v>
      </c>
      <c r="B358" s="28" t="s">
        <v>303</v>
      </c>
      <c r="C358" s="36">
        <f>250*2*127</f>
        <v>63500</v>
      </c>
      <c r="D358" s="65"/>
    </row>
    <row r="359" spans="1:4" x14ac:dyDescent="0.2">
      <c r="A359" s="28" t="s">
        <v>304</v>
      </c>
      <c r="B359" s="28" t="s">
        <v>303</v>
      </c>
      <c r="C359" s="36">
        <f>250*2*127</f>
        <v>63500</v>
      </c>
      <c r="D359" s="65"/>
    </row>
    <row r="360" spans="1:4" x14ac:dyDescent="0.2">
      <c r="A360" s="28" t="s">
        <v>305</v>
      </c>
      <c r="B360" s="28" t="s">
        <v>306</v>
      </c>
      <c r="C360" s="36">
        <f>800*4*127</f>
        <v>406400</v>
      </c>
      <c r="D360" s="65"/>
    </row>
    <row r="361" spans="1:4" x14ac:dyDescent="0.2">
      <c r="A361" s="66" t="s">
        <v>0</v>
      </c>
      <c r="B361" s="66"/>
      <c r="C361" s="36"/>
      <c r="D361" s="39">
        <f>SUM(C357:C360)</f>
        <v>660400</v>
      </c>
    </row>
    <row r="362" spans="1:4" x14ac:dyDescent="0.2">
      <c r="A362" s="61"/>
      <c r="B362" s="62"/>
      <c r="C362" s="63"/>
      <c r="D362" s="64"/>
    </row>
    <row r="363" spans="1:4" x14ac:dyDescent="0.2">
      <c r="A363" s="24"/>
      <c r="B363" s="103" t="s">
        <v>307</v>
      </c>
      <c r="C363" s="67"/>
      <c r="D363" s="104">
        <f>SUM(D291+D298+D306+D315+D320+D331+D338+D345+D353+D361)</f>
        <v>6200000</v>
      </c>
    </row>
    <row r="365" spans="1:4" x14ac:dyDescent="0.2">
      <c r="A365" s="165" t="s">
        <v>367</v>
      </c>
      <c r="B365" s="165"/>
      <c r="C365" s="43"/>
      <c r="D365" s="44"/>
    </row>
    <row r="366" spans="1:4" x14ac:dyDescent="0.2">
      <c r="A366" s="166"/>
      <c r="B366" s="166"/>
      <c r="C366" s="166"/>
      <c r="D366" s="167"/>
    </row>
    <row r="367" spans="1:4" x14ac:dyDescent="0.2">
      <c r="A367" s="70" t="s">
        <v>368</v>
      </c>
      <c r="C367" s="36"/>
    </row>
    <row r="368" spans="1:4" x14ac:dyDescent="0.2">
      <c r="A368" s="1" t="s">
        <v>369</v>
      </c>
      <c r="C368" s="36"/>
    </row>
    <row r="369" spans="1:12" x14ac:dyDescent="0.2">
      <c r="A369" s="1" t="s">
        <v>370</v>
      </c>
      <c r="C369" s="36">
        <f>4420*127</f>
        <v>561340</v>
      </c>
    </row>
    <row r="370" spans="1:12" x14ac:dyDescent="0.2">
      <c r="A370" s="1" t="s">
        <v>371</v>
      </c>
      <c r="C370" s="36">
        <f>3820*127</f>
        <v>485140</v>
      </c>
    </row>
    <row r="371" spans="1:12" x14ac:dyDescent="0.2">
      <c r="A371" s="1" t="s">
        <v>372</v>
      </c>
      <c r="C371" s="36">
        <f>1760*127</f>
        <v>223520</v>
      </c>
    </row>
    <row r="372" spans="1:12" x14ac:dyDescent="0.2">
      <c r="A372" s="1" t="s">
        <v>373</v>
      </c>
      <c r="C372" s="36">
        <f>3680*127</f>
        <v>467360</v>
      </c>
    </row>
    <row r="373" spans="1:12" x14ac:dyDescent="0.2">
      <c r="A373" s="1" t="s">
        <v>374</v>
      </c>
      <c r="C373" s="36">
        <f>590*127</f>
        <v>74930</v>
      </c>
    </row>
    <row r="374" spans="1:12" x14ac:dyDescent="0.2">
      <c r="A374" s="1" t="s">
        <v>209</v>
      </c>
      <c r="C374" s="36">
        <f>3000*127</f>
        <v>381000</v>
      </c>
    </row>
    <row r="375" spans="1:12" x14ac:dyDescent="0.2">
      <c r="A375" s="66" t="s">
        <v>0</v>
      </c>
      <c r="B375" s="66"/>
      <c r="C375" s="36"/>
      <c r="D375" s="39">
        <f>SUM(C369:C374)</f>
        <v>2193290</v>
      </c>
    </row>
    <row r="376" spans="1:12" x14ac:dyDescent="0.2">
      <c r="A376" s="61"/>
      <c r="B376" s="62"/>
      <c r="C376" s="63"/>
      <c r="D376" s="64"/>
    </row>
    <row r="377" spans="1:12" x14ac:dyDescent="0.2">
      <c r="A377" s="70" t="s">
        <v>375</v>
      </c>
      <c r="C377" s="36"/>
    </row>
    <row r="378" spans="1:12" x14ac:dyDescent="0.2">
      <c r="A378" s="1" t="s">
        <v>377</v>
      </c>
      <c r="C378" s="36"/>
    </row>
    <row r="379" spans="1:12" x14ac:dyDescent="0.2">
      <c r="A379" s="1" t="s">
        <v>376</v>
      </c>
      <c r="B379" s="28" t="s">
        <v>378</v>
      </c>
      <c r="C379" s="36">
        <f>2200*3*127</f>
        <v>838200</v>
      </c>
    </row>
    <row r="380" spans="1:12" x14ac:dyDescent="0.2">
      <c r="A380" s="1" t="s">
        <v>371</v>
      </c>
      <c r="B380" s="28"/>
      <c r="C380" s="36">
        <v>1136464.57</v>
      </c>
    </row>
    <row r="381" spans="1:12" x14ac:dyDescent="0.2">
      <c r="A381" s="1" t="s">
        <v>379</v>
      </c>
      <c r="B381" s="28"/>
      <c r="C381" s="36">
        <f>1470*127</f>
        <v>186690</v>
      </c>
    </row>
    <row r="382" spans="1:12" x14ac:dyDescent="0.2">
      <c r="A382" s="1" t="s">
        <v>374</v>
      </c>
      <c r="B382" s="28"/>
      <c r="C382" s="36">
        <f>1470*127</f>
        <v>186690</v>
      </c>
      <c r="K382" s="40"/>
    </row>
    <row r="383" spans="1:12" x14ac:dyDescent="0.2">
      <c r="A383" s="1" t="s">
        <v>209</v>
      </c>
      <c r="B383" s="28"/>
      <c r="C383" s="36">
        <f>5000*127</f>
        <v>635000</v>
      </c>
      <c r="L383" s="40"/>
    </row>
    <row r="384" spans="1:12" x14ac:dyDescent="0.2">
      <c r="A384" s="66" t="s">
        <v>0</v>
      </c>
      <c r="B384" s="66"/>
      <c r="C384" s="36"/>
      <c r="D384" s="39">
        <f>SUM(C379:C383)</f>
        <v>2983044.5700000003</v>
      </c>
    </row>
    <row r="385" spans="1:4" x14ac:dyDescent="0.2">
      <c r="A385" s="61"/>
      <c r="B385" s="62"/>
      <c r="C385" s="63"/>
      <c r="D385" s="64"/>
    </row>
    <row r="386" spans="1:4" x14ac:dyDescent="0.2">
      <c r="A386" s="70" t="s">
        <v>380</v>
      </c>
      <c r="C386" s="36"/>
    </row>
    <row r="387" spans="1:4" x14ac:dyDescent="0.2">
      <c r="A387" s="1" t="s">
        <v>381</v>
      </c>
      <c r="C387" s="36"/>
    </row>
    <row r="388" spans="1:4" x14ac:dyDescent="0.2">
      <c r="A388" s="1" t="s">
        <v>370</v>
      </c>
      <c r="B388" s="28"/>
      <c r="C388" s="36">
        <f>3680*127</f>
        <v>467360</v>
      </c>
    </row>
    <row r="389" spans="1:4" x14ac:dyDescent="0.2">
      <c r="A389" s="1" t="s">
        <v>382</v>
      </c>
      <c r="B389" s="28"/>
      <c r="C389" s="36">
        <f>880*127</f>
        <v>111760</v>
      </c>
    </row>
    <row r="390" spans="1:4" x14ac:dyDescent="0.2">
      <c r="A390" s="1" t="s">
        <v>383</v>
      </c>
      <c r="B390" s="28"/>
      <c r="C390" s="36">
        <f>1470*127</f>
        <v>186690</v>
      </c>
    </row>
    <row r="391" spans="1:4" x14ac:dyDescent="0.2">
      <c r="A391" s="1" t="s">
        <v>374</v>
      </c>
      <c r="B391" s="28"/>
      <c r="C391" s="36">
        <f>440*127</f>
        <v>55880</v>
      </c>
    </row>
    <row r="392" spans="1:4" x14ac:dyDescent="0.2">
      <c r="A392" s="1" t="s">
        <v>209</v>
      </c>
      <c r="B392" s="28"/>
      <c r="C392" s="36">
        <f>2800*127</f>
        <v>355600</v>
      </c>
    </row>
    <row r="393" spans="1:4" x14ac:dyDescent="0.2">
      <c r="A393" s="66" t="s">
        <v>0</v>
      </c>
      <c r="B393" s="66"/>
      <c r="C393" s="36"/>
      <c r="D393" s="39">
        <f>SUM(C388:C392)</f>
        <v>1177290</v>
      </c>
    </row>
    <row r="394" spans="1:4" x14ac:dyDescent="0.2">
      <c r="A394" s="61"/>
      <c r="B394" s="62"/>
      <c r="C394" s="63"/>
      <c r="D394" s="64"/>
    </row>
    <row r="395" spans="1:4" x14ac:dyDescent="0.2">
      <c r="A395" s="70" t="s">
        <v>384</v>
      </c>
      <c r="C395" s="36"/>
    </row>
    <row r="396" spans="1:4" x14ac:dyDescent="0.2">
      <c r="A396" s="1" t="s">
        <v>385</v>
      </c>
      <c r="C396" s="36"/>
    </row>
    <row r="397" spans="1:4" x14ac:dyDescent="0.2">
      <c r="A397" s="1" t="s">
        <v>370</v>
      </c>
      <c r="B397" s="28"/>
      <c r="C397" s="36">
        <f>3680*127</f>
        <v>467360</v>
      </c>
    </row>
    <row r="398" spans="1:4" x14ac:dyDescent="0.2">
      <c r="A398" s="1" t="s">
        <v>386</v>
      </c>
      <c r="B398" s="28"/>
      <c r="C398" s="36">
        <f>1030*127</f>
        <v>130810</v>
      </c>
    </row>
    <row r="399" spans="1:4" x14ac:dyDescent="0.2">
      <c r="A399" s="1" t="s">
        <v>383</v>
      </c>
      <c r="B399" s="28"/>
      <c r="C399" s="36">
        <f>1470*127</f>
        <v>186690</v>
      </c>
    </row>
    <row r="400" spans="1:4" x14ac:dyDescent="0.2">
      <c r="A400" s="1" t="s">
        <v>209</v>
      </c>
      <c r="B400" s="28"/>
      <c r="C400" s="36">
        <f>2500*127</f>
        <v>317500</v>
      </c>
    </row>
    <row r="401" spans="1:4" x14ac:dyDescent="0.2">
      <c r="A401" s="66" t="s">
        <v>0</v>
      </c>
      <c r="B401" s="66"/>
      <c r="C401" s="36"/>
      <c r="D401" s="39">
        <f>SUM(C397:C400)</f>
        <v>1102360</v>
      </c>
    </row>
    <row r="402" spans="1:4" x14ac:dyDescent="0.2">
      <c r="A402" s="61"/>
      <c r="B402" s="62"/>
      <c r="C402" s="63"/>
      <c r="D402" s="64"/>
    </row>
    <row r="403" spans="1:4" x14ac:dyDescent="0.2">
      <c r="A403" s="70" t="s">
        <v>387</v>
      </c>
      <c r="C403" s="36"/>
    </row>
    <row r="404" spans="1:4" x14ac:dyDescent="0.2">
      <c r="A404" s="1" t="s">
        <v>388</v>
      </c>
      <c r="C404" s="36"/>
    </row>
    <row r="405" spans="1:4" x14ac:dyDescent="0.2">
      <c r="A405" s="1" t="s">
        <v>370</v>
      </c>
      <c r="B405" s="28"/>
      <c r="C405" s="36">
        <f>3680*127</f>
        <v>467360</v>
      </c>
    </row>
    <row r="406" spans="1:4" x14ac:dyDescent="0.2">
      <c r="A406" s="1" t="s">
        <v>382</v>
      </c>
      <c r="B406" s="28"/>
      <c r="C406" s="36">
        <f>1030*127</f>
        <v>130810</v>
      </c>
    </row>
    <row r="407" spans="1:4" x14ac:dyDescent="0.2">
      <c r="A407" s="1" t="s">
        <v>383</v>
      </c>
      <c r="B407" s="28"/>
      <c r="C407" s="36">
        <f>1470*127</f>
        <v>186690</v>
      </c>
    </row>
    <row r="408" spans="1:4" x14ac:dyDescent="0.2">
      <c r="A408" s="1" t="s">
        <v>374</v>
      </c>
      <c r="B408" s="28"/>
      <c r="C408" s="36">
        <f>500*127</f>
        <v>63500</v>
      </c>
    </row>
    <row r="409" spans="1:4" x14ac:dyDescent="0.2">
      <c r="A409" s="1" t="s">
        <v>209</v>
      </c>
      <c r="B409" s="28"/>
      <c r="C409" s="36">
        <f>2500*127</f>
        <v>317500</v>
      </c>
    </row>
    <row r="410" spans="1:4" x14ac:dyDescent="0.2">
      <c r="A410" s="66" t="s">
        <v>0</v>
      </c>
      <c r="B410" s="66"/>
      <c r="C410" s="36"/>
      <c r="D410" s="39">
        <f>SUM(C405:C409)</f>
        <v>1165860</v>
      </c>
    </row>
    <row r="411" spans="1:4" x14ac:dyDescent="0.2">
      <c r="A411" s="61"/>
      <c r="B411" s="62"/>
      <c r="C411" s="63"/>
      <c r="D411" s="64"/>
    </row>
    <row r="412" spans="1:4" ht="23" customHeight="1" x14ac:dyDescent="0.2">
      <c r="A412" s="123" t="s">
        <v>465</v>
      </c>
      <c r="B412" s="116"/>
      <c r="C412" s="36"/>
      <c r="D412" s="117"/>
    </row>
    <row r="413" spans="1:4" x14ac:dyDescent="0.2">
      <c r="A413" s="115" t="s">
        <v>466</v>
      </c>
      <c r="B413" s="116"/>
      <c r="C413" s="36"/>
      <c r="D413" s="117"/>
    </row>
    <row r="414" spans="1:4" x14ac:dyDescent="0.2">
      <c r="A414" s="115" t="s">
        <v>370</v>
      </c>
      <c r="B414" s="28"/>
      <c r="C414" s="36">
        <v>280522</v>
      </c>
      <c r="D414" s="117"/>
    </row>
    <row r="415" spans="1:4" x14ac:dyDescent="0.2">
      <c r="A415" s="115" t="s">
        <v>382</v>
      </c>
      <c r="B415" s="28"/>
      <c r="C415" s="36">
        <v>46754</v>
      </c>
      <c r="D415" s="117"/>
    </row>
    <row r="416" spans="1:4" x14ac:dyDescent="0.2">
      <c r="A416" s="115" t="s">
        <v>383</v>
      </c>
      <c r="B416" s="28"/>
      <c r="C416" s="36">
        <v>149612</v>
      </c>
      <c r="D416" s="117"/>
    </row>
    <row r="417" spans="1:4" x14ac:dyDescent="0.2">
      <c r="A417" s="115" t="s">
        <v>374</v>
      </c>
      <c r="B417" s="28"/>
      <c r="C417" s="36">
        <v>28040</v>
      </c>
      <c r="D417" s="117"/>
    </row>
    <row r="418" spans="1:4" x14ac:dyDescent="0.2">
      <c r="A418" s="115" t="s">
        <v>209</v>
      </c>
      <c r="B418" s="28"/>
      <c r="C418" s="36">
        <v>127000</v>
      </c>
      <c r="D418" s="117"/>
    </row>
    <row r="419" spans="1:4" x14ac:dyDescent="0.2">
      <c r="A419" s="66" t="s">
        <v>0</v>
      </c>
      <c r="B419" s="66"/>
      <c r="C419" s="36"/>
      <c r="D419" s="39">
        <f>C418+C417+C416+C415+C414</f>
        <v>631928</v>
      </c>
    </row>
    <row r="420" spans="1:4" x14ac:dyDescent="0.2">
      <c r="A420" s="118"/>
      <c r="B420" s="119"/>
      <c r="C420" s="120"/>
      <c r="D420" s="121"/>
    </row>
    <row r="421" spans="1:4" x14ac:dyDescent="0.2">
      <c r="A421" s="114" t="s">
        <v>467</v>
      </c>
      <c r="B421" s="116"/>
      <c r="C421" s="36"/>
      <c r="D421" s="117"/>
    </row>
    <row r="422" spans="1:4" x14ac:dyDescent="0.2">
      <c r="A422" s="115" t="s">
        <v>468</v>
      </c>
      <c r="B422" s="116"/>
      <c r="C422" s="36"/>
      <c r="D422" s="117"/>
    </row>
    <row r="423" spans="1:4" x14ac:dyDescent="0.2">
      <c r="A423" s="115" t="s">
        <v>376</v>
      </c>
      <c r="B423" s="28"/>
      <c r="C423" s="36">
        <f>5153.96*127</f>
        <v>654552.92000000004</v>
      </c>
      <c r="D423" s="117"/>
    </row>
    <row r="424" spans="1:4" x14ac:dyDescent="0.2">
      <c r="A424" s="115" t="s">
        <v>382</v>
      </c>
      <c r="B424" s="28"/>
      <c r="C424" s="36">
        <f>736.28*127</f>
        <v>93507.56</v>
      </c>
      <c r="D424" s="117"/>
    </row>
    <row r="425" spans="1:4" x14ac:dyDescent="0.2">
      <c r="A425" s="115" t="s">
        <v>383</v>
      </c>
      <c r="B425" s="28"/>
      <c r="C425" s="36">
        <f>1178.05*127</f>
        <v>149612.35</v>
      </c>
      <c r="D425" s="117"/>
    </row>
    <row r="426" spans="1:4" x14ac:dyDescent="0.2">
      <c r="A426" s="115" t="s">
        <v>374</v>
      </c>
      <c r="B426" s="28"/>
      <c r="C426" s="36">
        <f>590*127</f>
        <v>74930</v>
      </c>
      <c r="D426" s="117"/>
    </row>
    <row r="427" spans="1:4" x14ac:dyDescent="0.2">
      <c r="A427" s="115" t="s">
        <v>209</v>
      </c>
      <c r="B427" s="28"/>
      <c r="C427" s="36">
        <f>2200*127</f>
        <v>279400</v>
      </c>
      <c r="D427" s="117"/>
    </row>
    <row r="428" spans="1:4" x14ac:dyDescent="0.2">
      <c r="A428" s="66" t="s">
        <v>0</v>
      </c>
      <c r="B428" s="66"/>
      <c r="C428" s="36"/>
      <c r="D428" s="39">
        <f>C427+C426+C425+C424+C423</f>
        <v>1252002.83</v>
      </c>
    </row>
    <row r="429" spans="1:4" x14ac:dyDescent="0.2">
      <c r="A429" s="164"/>
      <c r="B429" s="164"/>
      <c r="C429" s="164"/>
      <c r="D429" s="164"/>
    </row>
    <row r="430" spans="1:4" x14ac:dyDescent="0.2">
      <c r="A430" s="114" t="s">
        <v>469</v>
      </c>
      <c r="B430" s="116"/>
      <c r="C430" s="36"/>
      <c r="D430" s="117"/>
    </row>
    <row r="431" spans="1:4" x14ac:dyDescent="0.2">
      <c r="A431" s="115" t="s">
        <v>470</v>
      </c>
      <c r="B431" s="116"/>
      <c r="C431" s="36"/>
      <c r="D431" s="117"/>
    </row>
    <row r="432" spans="1:4" x14ac:dyDescent="0.2">
      <c r="A432" s="115" t="s">
        <v>471</v>
      </c>
      <c r="B432" s="28"/>
      <c r="C432" s="36">
        <f>2950*127</f>
        <v>374650</v>
      </c>
      <c r="D432" s="117"/>
    </row>
    <row r="433" spans="1:4" x14ac:dyDescent="0.2">
      <c r="A433" s="115" t="s">
        <v>208</v>
      </c>
      <c r="B433" s="28"/>
      <c r="C433" s="36">
        <f>2950*127</f>
        <v>374650</v>
      </c>
      <c r="D433" s="117"/>
    </row>
    <row r="434" spans="1:4" x14ac:dyDescent="0.2">
      <c r="A434" s="115" t="s">
        <v>382</v>
      </c>
      <c r="B434" s="28"/>
      <c r="C434" s="36">
        <f>590*127</f>
        <v>74930</v>
      </c>
      <c r="D434" s="117"/>
    </row>
    <row r="435" spans="1:4" x14ac:dyDescent="0.2">
      <c r="A435" s="115" t="s">
        <v>383</v>
      </c>
      <c r="B435" s="28"/>
      <c r="C435" s="36">
        <f>1030.8*127</f>
        <v>130911.59999999999</v>
      </c>
      <c r="D435" s="117"/>
    </row>
    <row r="436" spans="1:4" x14ac:dyDescent="0.2">
      <c r="A436" s="115" t="s">
        <v>374</v>
      </c>
      <c r="B436" s="28"/>
      <c r="C436" s="36">
        <f>442*127</f>
        <v>56134</v>
      </c>
      <c r="D436" s="117"/>
    </row>
    <row r="437" spans="1:4" x14ac:dyDescent="0.2">
      <c r="A437" s="115" t="s">
        <v>209</v>
      </c>
      <c r="B437" s="28"/>
      <c r="C437" s="36">
        <f>7952*127</f>
        <v>1009904</v>
      </c>
      <c r="D437" s="117"/>
    </row>
    <row r="438" spans="1:4" x14ac:dyDescent="0.2">
      <c r="A438" s="66" t="s">
        <v>0</v>
      </c>
      <c r="B438" s="66"/>
      <c r="C438" s="36"/>
      <c r="D438" s="39">
        <f>C437+C436+C435+C434+C433+C432</f>
        <v>2021179.6</v>
      </c>
    </row>
    <row r="439" spans="1:4" x14ac:dyDescent="0.2">
      <c r="A439" s="164"/>
      <c r="B439" s="164"/>
      <c r="C439" s="164"/>
      <c r="D439" s="164"/>
    </row>
    <row r="440" spans="1:4" ht="21" customHeight="1" x14ac:dyDescent="0.2">
      <c r="A440" s="122" t="s">
        <v>472</v>
      </c>
      <c r="B440" s="116"/>
      <c r="C440" s="36"/>
      <c r="D440" s="117"/>
    </row>
    <row r="441" spans="1:4" x14ac:dyDescent="0.2">
      <c r="A441" s="115" t="s">
        <v>473</v>
      </c>
      <c r="B441" s="116"/>
      <c r="C441" s="36"/>
      <c r="D441" s="117"/>
    </row>
    <row r="442" spans="1:4" x14ac:dyDescent="0.2">
      <c r="A442" s="115" t="s">
        <v>474</v>
      </c>
      <c r="B442" s="116"/>
      <c r="C442" s="36">
        <f>2500*127</f>
        <v>317500</v>
      </c>
      <c r="D442" s="117"/>
    </row>
    <row r="443" spans="1:4" x14ac:dyDescent="0.2">
      <c r="A443" s="115" t="s">
        <v>475</v>
      </c>
      <c r="B443" s="116"/>
      <c r="C443" s="36">
        <f>2000*127</f>
        <v>254000</v>
      </c>
      <c r="D443" s="117"/>
    </row>
    <row r="444" spans="1:4" x14ac:dyDescent="0.2">
      <c r="A444" s="115" t="s">
        <v>476</v>
      </c>
      <c r="B444" s="28"/>
      <c r="C444" s="36">
        <f>4420*127</f>
        <v>561340</v>
      </c>
      <c r="D444" s="117"/>
    </row>
    <row r="445" spans="1:4" x14ac:dyDescent="0.2">
      <c r="A445" s="115" t="s">
        <v>382</v>
      </c>
      <c r="B445" s="28"/>
      <c r="C445" s="36">
        <f>590*127</f>
        <v>74930</v>
      </c>
      <c r="D445" s="117"/>
    </row>
    <row r="446" spans="1:4" x14ac:dyDescent="0.2">
      <c r="A446" s="115" t="s">
        <v>383</v>
      </c>
      <c r="B446" s="28"/>
      <c r="C446" s="36">
        <f>2209*127</f>
        <v>280543</v>
      </c>
      <c r="D446" s="117"/>
    </row>
    <row r="447" spans="1:4" x14ac:dyDescent="0.2">
      <c r="A447" s="115" t="s">
        <v>374</v>
      </c>
      <c r="B447" s="28"/>
      <c r="C447" s="36">
        <f>737*127</f>
        <v>93599</v>
      </c>
      <c r="D447" s="117"/>
    </row>
    <row r="448" spans="1:4" x14ac:dyDescent="0.2">
      <c r="A448" s="115" t="s">
        <v>209</v>
      </c>
      <c r="B448" s="28"/>
      <c r="C448" s="36">
        <f>2500*127</f>
        <v>317500</v>
      </c>
      <c r="D448" s="117"/>
    </row>
    <row r="449" spans="1:4" x14ac:dyDescent="0.2">
      <c r="A449" s="66" t="s">
        <v>0</v>
      </c>
      <c r="B449" s="66"/>
      <c r="C449" s="36"/>
      <c r="D449" s="39">
        <f>C448+C447+C446+C445+C444+C443+C442</f>
        <v>1899412</v>
      </c>
    </row>
    <row r="450" spans="1:4" x14ac:dyDescent="0.2">
      <c r="A450" s="118"/>
      <c r="B450" s="119"/>
      <c r="C450" s="120"/>
      <c r="D450" s="121"/>
    </row>
    <row r="451" spans="1:4" x14ac:dyDescent="0.2">
      <c r="A451" s="70" t="s">
        <v>389</v>
      </c>
      <c r="C451" s="36"/>
    </row>
    <row r="452" spans="1:4" x14ac:dyDescent="0.2">
      <c r="A452" s="1" t="s">
        <v>390</v>
      </c>
      <c r="B452" s="28"/>
      <c r="C452" s="36">
        <f>200*127</f>
        <v>25400</v>
      </c>
    </row>
    <row r="453" spans="1:4" x14ac:dyDescent="0.2">
      <c r="A453" s="1" t="s">
        <v>391</v>
      </c>
      <c r="B453" s="28"/>
      <c r="C453" s="36">
        <f>1100*127</f>
        <v>139700</v>
      </c>
    </row>
    <row r="454" spans="1:4" x14ac:dyDescent="0.2">
      <c r="A454" s="1" t="s">
        <v>392</v>
      </c>
      <c r="B454" s="28"/>
      <c r="C454" s="36">
        <f>1470*127</f>
        <v>186690</v>
      </c>
    </row>
    <row r="455" spans="1:4" x14ac:dyDescent="0.2">
      <c r="A455" s="1" t="s">
        <v>393</v>
      </c>
      <c r="B455" s="28"/>
      <c r="C455" s="36">
        <f>400*127</f>
        <v>50800</v>
      </c>
    </row>
    <row r="456" spans="1:4" x14ac:dyDescent="0.2">
      <c r="A456" s="66" t="s">
        <v>0</v>
      </c>
      <c r="B456" s="66"/>
      <c r="C456" s="36"/>
      <c r="D456" s="39">
        <f>SUM(C452:C455)</f>
        <v>402590</v>
      </c>
    </row>
    <row r="457" spans="1:4" x14ac:dyDescent="0.2">
      <c r="A457" s="61"/>
      <c r="B457" s="62"/>
      <c r="C457" s="63"/>
      <c r="D457" s="64"/>
    </row>
    <row r="458" spans="1:4" x14ac:dyDescent="0.2">
      <c r="A458" s="70" t="s">
        <v>394</v>
      </c>
      <c r="C458" s="36"/>
    </row>
    <row r="459" spans="1:4" x14ac:dyDescent="0.2">
      <c r="A459" s="1" t="s">
        <v>390</v>
      </c>
      <c r="B459" s="28"/>
      <c r="C459" s="36">
        <f>300*127</f>
        <v>38100</v>
      </c>
    </row>
    <row r="460" spans="1:4" x14ac:dyDescent="0.2">
      <c r="A460" s="1" t="s">
        <v>391</v>
      </c>
      <c r="B460" s="28"/>
      <c r="C460" s="36">
        <f>300*127</f>
        <v>38100</v>
      </c>
    </row>
    <row r="461" spans="1:4" x14ac:dyDescent="0.2">
      <c r="A461" s="1" t="s">
        <v>392</v>
      </c>
      <c r="B461" s="28"/>
      <c r="C461" s="36">
        <f>590*127</f>
        <v>74930</v>
      </c>
    </row>
    <row r="462" spans="1:4" x14ac:dyDescent="0.2">
      <c r="A462" s="1" t="s">
        <v>395</v>
      </c>
      <c r="B462" s="28"/>
      <c r="C462" s="36">
        <f>300*127</f>
        <v>38100</v>
      </c>
    </row>
    <row r="463" spans="1:4" x14ac:dyDescent="0.2">
      <c r="A463" s="66" t="s">
        <v>0</v>
      </c>
      <c r="B463" s="66"/>
      <c r="C463" s="36"/>
      <c r="D463" s="39">
        <f>SUM(C459:C462)</f>
        <v>189230</v>
      </c>
    </row>
    <row r="464" spans="1:4" x14ac:dyDescent="0.2">
      <c r="A464" s="61"/>
      <c r="B464" s="62"/>
      <c r="C464" s="63"/>
      <c r="D464" s="64"/>
    </row>
    <row r="465" spans="1:4" x14ac:dyDescent="0.2">
      <c r="B465" s="103" t="s">
        <v>396</v>
      </c>
      <c r="C465" s="67"/>
      <c r="D465" s="104">
        <f>+D375+D384+D393+D401+D410+D456+D463+D419+D428+D438+D449</f>
        <v>15018187</v>
      </c>
    </row>
    <row r="466" spans="1:4" ht="18" x14ac:dyDescent="0.2">
      <c r="B466" s="99" t="s">
        <v>458</v>
      </c>
      <c r="C466" s="71"/>
      <c r="D466" s="71">
        <f>+D29+D279+D363+D465</f>
        <v>980100000</v>
      </c>
    </row>
    <row r="467" spans="1:4" ht="21" customHeight="1" x14ac:dyDescent="0.2">
      <c r="A467" s="70" t="s">
        <v>397</v>
      </c>
      <c r="C467" s="1"/>
      <c r="D467" s="1"/>
    </row>
    <row r="468" spans="1:4" ht="32" x14ac:dyDescent="0.2">
      <c r="A468" s="72" t="s">
        <v>398</v>
      </c>
      <c r="B468" s="73" t="s">
        <v>399</v>
      </c>
      <c r="C468" s="1"/>
      <c r="D468" s="73" t="s">
        <v>400</v>
      </c>
    </row>
    <row r="469" spans="1:4" x14ac:dyDescent="0.2">
      <c r="A469" s="74"/>
      <c r="B469" s="74"/>
      <c r="C469" s="75"/>
      <c r="D469" s="1"/>
    </row>
    <row r="470" spans="1:4" x14ac:dyDescent="0.2">
      <c r="A470" s="76" t="s">
        <v>401</v>
      </c>
      <c r="B470" s="77"/>
      <c r="C470" s="77"/>
      <c r="D470" s="1"/>
    </row>
    <row r="471" spans="1:4" x14ac:dyDescent="0.2">
      <c r="A471" s="78" t="s">
        <v>402</v>
      </c>
      <c r="B471" s="89">
        <v>9500000</v>
      </c>
      <c r="C471" s="89"/>
    </row>
    <row r="472" spans="1:4" x14ac:dyDescent="0.2">
      <c r="A472" s="76" t="s">
        <v>403</v>
      </c>
      <c r="B472" s="90"/>
      <c r="C472" s="90"/>
    </row>
    <row r="473" spans="1:4" x14ac:dyDescent="0.2">
      <c r="A473" s="79" t="s">
        <v>404</v>
      </c>
      <c r="B473" s="89">
        <v>1200000</v>
      </c>
      <c r="C473" s="89"/>
    </row>
    <row r="474" spans="1:4" x14ac:dyDescent="0.2">
      <c r="A474" s="79" t="s">
        <v>405</v>
      </c>
      <c r="B474" s="89">
        <v>510000</v>
      </c>
      <c r="C474" s="89"/>
    </row>
    <row r="475" spans="1:4" x14ac:dyDescent="0.2">
      <c r="A475" s="80" t="s">
        <v>406</v>
      </c>
      <c r="B475" s="89">
        <v>90000</v>
      </c>
      <c r="C475" s="89"/>
    </row>
    <row r="476" spans="1:4" x14ac:dyDescent="0.2">
      <c r="A476" s="81" t="s">
        <v>407</v>
      </c>
      <c r="B476" s="89"/>
      <c r="C476" s="89"/>
    </row>
    <row r="477" spans="1:4" x14ac:dyDescent="0.2">
      <c r="A477" s="80" t="s">
        <v>496</v>
      </c>
      <c r="B477" s="89">
        <v>1000</v>
      </c>
      <c r="C477" s="89"/>
    </row>
    <row r="478" spans="1:4" x14ac:dyDescent="0.2">
      <c r="A478" s="76" t="s">
        <v>408</v>
      </c>
      <c r="B478" s="91"/>
      <c r="C478" s="91"/>
    </row>
    <row r="479" spans="1:4" x14ac:dyDescent="0.2">
      <c r="A479" s="79" t="s">
        <v>408</v>
      </c>
      <c r="B479" s="89">
        <v>400000</v>
      </c>
      <c r="C479" s="89"/>
    </row>
    <row r="480" spans="1:4" x14ac:dyDescent="0.2">
      <c r="A480" s="76" t="s">
        <v>409</v>
      </c>
      <c r="B480" s="91"/>
      <c r="C480" s="91"/>
    </row>
    <row r="481" spans="1:3" x14ac:dyDescent="0.2">
      <c r="A481" s="79" t="s">
        <v>410</v>
      </c>
      <c r="B481" s="89">
        <v>0</v>
      </c>
      <c r="C481" s="89"/>
    </row>
    <row r="482" spans="1:3" x14ac:dyDescent="0.2">
      <c r="A482" s="76" t="s">
        <v>411</v>
      </c>
      <c r="B482" s="91"/>
      <c r="C482" s="91"/>
    </row>
    <row r="483" spans="1:3" x14ac:dyDescent="0.2">
      <c r="A483" s="79" t="s">
        <v>412</v>
      </c>
      <c r="B483" s="89">
        <v>969100</v>
      </c>
      <c r="C483" s="89"/>
    </row>
    <row r="484" spans="1:3" x14ac:dyDescent="0.2">
      <c r="A484" s="80" t="s">
        <v>413</v>
      </c>
      <c r="B484" s="89">
        <v>523600</v>
      </c>
      <c r="C484" s="89"/>
    </row>
    <row r="485" spans="1:3" x14ac:dyDescent="0.2">
      <c r="A485" s="80" t="s">
        <v>414</v>
      </c>
      <c r="B485" s="89">
        <v>107400</v>
      </c>
      <c r="C485" s="89"/>
    </row>
    <row r="486" spans="1:3" x14ac:dyDescent="0.2">
      <c r="A486" s="80" t="s">
        <v>415</v>
      </c>
      <c r="B486" s="89">
        <v>390500</v>
      </c>
      <c r="C486" s="89"/>
    </row>
    <row r="487" spans="1:3" x14ac:dyDescent="0.2">
      <c r="A487" s="80" t="s">
        <v>416</v>
      </c>
      <c r="B487" s="89">
        <v>88000</v>
      </c>
      <c r="C487" s="89"/>
    </row>
    <row r="488" spans="1:3" x14ac:dyDescent="0.2">
      <c r="A488" s="80" t="s">
        <v>417</v>
      </c>
      <c r="B488" s="89">
        <v>88000</v>
      </c>
      <c r="C488" s="89"/>
    </row>
    <row r="489" spans="1:3" x14ac:dyDescent="0.2">
      <c r="A489" s="80" t="s">
        <v>418</v>
      </c>
      <c r="B489" s="89">
        <v>433400</v>
      </c>
      <c r="C489" s="89"/>
    </row>
    <row r="490" spans="1:3" x14ac:dyDescent="0.2">
      <c r="A490" s="76" t="s">
        <v>419</v>
      </c>
      <c r="B490" s="91"/>
      <c r="C490" s="91"/>
    </row>
    <row r="491" spans="1:3" x14ac:dyDescent="0.2">
      <c r="A491" s="79" t="s">
        <v>420</v>
      </c>
      <c r="B491" s="89">
        <v>60000</v>
      </c>
      <c r="C491" s="89"/>
    </row>
    <row r="492" spans="1:3" x14ac:dyDescent="0.2">
      <c r="A492" s="79" t="s">
        <v>421</v>
      </c>
      <c r="B492" s="89">
        <v>90000</v>
      </c>
      <c r="C492" s="89"/>
    </row>
    <row r="493" spans="1:3" x14ac:dyDescent="0.2">
      <c r="A493" s="79" t="s">
        <v>422</v>
      </c>
      <c r="B493" s="89">
        <v>150000</v>
      </c>
      <c r="C493" s="89"/>
    </row>
    <row r="494" spans="1:3" x14ac:dyDescent="0.2">
      <c r="A494" s="79" t="s">
        <v>423</v>
      </c>
      <c r="B494" s="89">
        <v>80000</v>
      </c>
      <c r="C494" s="89"/>
    </row>
    <row r="495" spans="1:3" x14ac:dyDescent="0.2">
      <c r="A495" s="76" t="s">
        <v>424</v>
      </c>
      <c r="B495" s="91"/>
      <c r="C495" s="91"/>
    </row>
    <row r="496" spans="1:3" x14ac:dyDescent="0.2">
      <c r="A496" s="80" t="s">
        <v>425</v>
      </c>
      <c r="B496" s="89">
        <v>800000</v>
      </c>
      <c r="C496" s="89"/>
    </row>
    <row r="497" spans="1:4" x14ac:dyDescent="0.2">
      <c r="A497" s="80" t="s">
        <v>426</v>
      </c>
      <c r="B497" s="89">
        <v>721600</v>
      </c>
      <c r="C497" s="89"/>
    </row>
    <row r="498" spans="1:4" x14ac:dyDescent="0.2">
      <c r="A498" s="79" t="s">
        <v>427</v>
      </c>
      <c r="B498" s="89">
        <v>500000</v>
      </c>
      <c r="C498" s="89"/>
    </row>
    <row r="499" spans="1:4" x14ac:dyDescent="0.2">
      <c r="A499" s="80" t="s">
        <v>428</v>
      </c>
      <c r="B499" s="89">
        <v>1092000</v>
      </c>
      <c r="C499" s="89"/>
    </row>
    <row r="500" spans="1:4" x14ac:dyDescent="0.2">
      <c r="A500" s="80" t="s">
        <v>429</v>
      </c>
      <c r="B500" s="89">
        <v>2800000</v>
      </c>
      <c r="C500" s="89"/>
    </row>
    <row r="501" spans="1:4" x14ac:dyDescent="0.2">
      <c r="A501" s="80" t="s">
        <v>430</v>
      </c>
      <c r="B501" s="89">
        <v>500000</v>
      </c>
      <c r="C501" s="89"/>
    </row>
    <row r="502" spans="1:4" x14ac:dyDescent="0.2">
      <c r="A502" s="80" t="s">
        <v>431</v>
      </c>
      <c r="B502" s="89">
        <v>1936400</v>
      </c>
      <c r="C502" s="89"/>
    </row>
    <row r="503" spans="1:4" x14ac:dyDescent="0.2">
      <c r="A503" s="76" t="s">
        <v>432</v>
      </c>
      <c r="B503" s="91"/>
      <c r="C503" s="91"/>
    </row>
    <row r="504" spans="1:4" x14ac:dyDescent="0.2">
      <c r="A504" s="79" t="s">
        <v>433</v>
      </c>
      <c r="B504" s="89">
        <v>0</v>
      </c>
      <c r="C504" s="89"/>
      <c r="D504" s="92"/>
    </row>
    <row r="505" spans="1:4" x14ac:dyDescent="0.2">
      <c r="A505" s="76" t="s">
        <v>434</v>
      </c>
      <c r="B505" s="91"/>
      <c r="C505" s="91"/>
    </row>
    <row r="506" spans="1:4" x14ac:dyDescent="0.2">
      <c r="A506" s="79" t="s">
        <v>435</v>
      </c>
      <c r="B506" s="89">
        <v>180000</v>
      </c>
      <c r="C506" s="89"/>
    </row>
    <row r="507" spans="1:4" x14ac:dyDescent="0.2">
      <c r="A507" s="79" t="s">
        <v>436</v>
      </c>
      <c r="B507" s="89">
        <v>200000</v>
      </c>
      <c r="C507" s="89"/>
    </row>
    <row r="508" spans="1:4" x14ac:dyDescent="0.2">
      <c r="A508" s="76" t="s">
        <v>437</v>
      </c>
      <c r="B508" s="91"/>
      <c r="C508" s="91"/>
    </row>
    <row r="509" spans="1:4" x14ac:dyDescent="0.2">
      <c r="A509" s="80" t="s">
        <v>438</v>
      </c>
      <c r="B509" s="89">
        <v>500000</v>
      </c>
      <c r="C509" s="89"/>
    </row>
    <row r="510" spans="1:4" x14ac:dyDescent="0.2">
      <c r="A510" s="79" t="s">
        <v>439</v>
      </c>
      <c r="B510" s="89">
        <v>300000</v>
      </c>
      <c r="C510" s="89"/>
    </row>
    <row r="511" spans="1:4" x14ac:dyDescent="0.2">
      <c r="A511" s="79" t="s">
        <v>440</v>
      </c>
      <c r="B511" s="89">
        <v>100000</v>
      </c>
      <c r="C511" s="89"/>
    </row>
    <row r="512" spans="1:4" x14ac:dyDescent="0.2">
      <c r="A512" s="79" t="s">
        <v>441</v>
      </c>
      <c r="B512" s="89">
        <v>370000</v>
      </c>
      <c r="C512" s="89"/>
    </row>
    <row r="513" spans="1:4" x14ac:dyDescent="0.2">
      <c r="A513" s="82" t="s">
        <v>442</v>
      </c>
      <c r="B513" s="89"/>
      <c r="C513" s="89"/>
    </row>
    <row r="514" spans="1:4" x14ac:dyDescent="0.2">
      <c r="A514" s="79" t="s">
        <v>443</v>
      </c>
      <c r="B514" s="89">
        <v>150000</v>
      </c>
      <c r="C514" s="89"/>
    </row>
    <row r="515" spans="1:4" x14ac:dyDescent="0.2">
      <c r="A515" s="82" t="s">
        <v>444</v>
      </c>
      <c r="B515" s="89"/>
      <c r="C515" s="89"/>
    </row>
    <row r="516" spans="1:4" x14ac:dyDescent="0.2">
      <c r="A516" s="79" t="s">
        <v>445</v>
      </c>
      <c r="B516" s="89"/>
      <c r="C516" s="89"/>
      <c r="D516" s="40">
        <v>300000</v>
      </c>
    </row>
    <row r="517" spans="1:4" x14ac:dyDescent="0.2">
      <c r="A517" s="83"/>
      <c r="B517" s="93"/>
      <c r="C517" s="93"/>
      <c r="D517" s="47"/>
    </row>
    <row r="518" spans="1:4" ht="17" x14ac:dyDescent="0.2">
      <c r="A518" s="100" t="s">
        <v>455</v>
      </c>
      <c r="B518" s="101">
        <f>SUM(B471:B515)</f>
        <v>24831000</v>
      </c>
      <c r="C518" s="101"/>
      <c r="D518" s="101">
        <f>SUM(D471:D517)</f>
        <v>300000</v>
      </c>
    </row>
    <row r="519" spans="1:4" ht="17" x14ac:dyDescent="0.2">
      <c r="A519" s="100"/>
      <c r="B519" s="101"/>
      <c r="C519" s="101"/>
      <c r="D519" s="101"/>
    </row>
    <row r="520" spans="1:4" x14ac:dyDescent="0.2">
      <c r="A520" s="84" t="s">
        <v>456</v>
      </c>
      <c r="B520" s="94"/>
      <c r="C520" s="95"/>
    </row>
    <row r="521" spans="1:4" x14ac:dyDescent="0.2">
      <c r="A521" s="85"/>
      <c r="B521" s="94"/>
      <c r="C521" s="95"/>
    </row>
    <row r="522" spans="1:4" x14ac:dyDescent="0.2">
      <c r="A522" s="105" t="s">
        <v>446</v>
      </c>
      <c r="B522" s="106">
        <f>+D29</f>
        <v>892200000</v>
      </c>
      <c r="C522" s="96"/>
    </row>
    <row r="523" spans="1:4" x14ac:dyDescent="0.2">
      <c r="A523" s="105" t="s">
        <v>451</v>
      </c>
      <c r="B523" s="106">
        <f>+D279</f>
        <v>66681813</v>
      </c>
      <c r="C523" s="96"/>
    </row>
    <row r="524" spans="1:4" x14ac:dyDescent="0.2">
      <c r="A524" s="105" t="s">
        <v>460</v>
      </c>
      <c r="B524" s="106">
        <f>+D363</f>
        <v>6200000</v>
      </c>
      <c r="C524" s="96"/>
    </row>
    <row r="525" spans="1:4" x14ac:dyDescent="0.2">
      <c r="A525" s="105" t="s">
        <v>447</v>
      </c>
      <c r="B525" s="106">
        <f>+D465</f>
        <v>15018187</v>
      </c>
      <c r="C525" s="96"/>
    </row>
    <row r="526" spans="1:4" x14ac:dyDescent="0.2">
      <c r="A526" s="105" t="s">
        <v>448</v>
      </c>
      <c r="B526" s="106">
        <f>B518</f>
        <v>24831000</v>
      </c>
      <c r="C526" s="96"/>
    </row>
    <row r="527" spans="1:4" x14ac:dyDescent="0.2">
      <c r="A527" s="105" t="s">
        <v>449</v>
      </c>
      <c r="B527" s="106">
        <f>D516</f>
        <v>300000</v>
      </c>
      <c r="C527" s="96"/>
    </row>
    <row r="528" spans="1:4" x14ac:dyDescent="0.2">
      <c r="A528" s="107"/>
      <c r="B528" s="108"/>
      <c r="C528" s="47"/>
      <c r="D528" s="47"/>
    </row>
    <row r="529" spans="1:4" ht="18" x14ac:dyDescent="0.2">
      <c r="A529" s="86" t="s">
        <v>488</v>
      </c>
      <c r="B529" s="97">
        <f>SUM(B522:B527)</f>
        <v>1005231000</v>
      </c>
      <c r="C529" s="106" t="s">
        <v>489</v>
      </c>
      <c r="D529" s="98"/>
    </row>
    <row r="533" spans="1:4" x14ac:dyDescent="0.2">
      <c r="B533" s="124" t="s">
        <v>486</v>
      </c>
    </row>
    <row r="534" spans="1:4" x14ac:dyDescent="0.2">
      <c r="B534" s="124"/>
    </row>
    <row r="535" spans="1:4" x14ac:dyDescent="0.2">
      <c r="B535" s="124" t="s">
        <v>487</v>
      </c>
    </row>
    <row r="537" spans="1:4" x14ac:dyDescent="0.2">
      <c r="C537" s="2"/>
    </row>
  </sheetData>
  <mergeCells count="57">
    <mergeCell ref="A233:D233"/>
    <mergeCell ref="A262:D262"/>
    <mergeCell ref="A272:D272"/>
    <mergeCell ref="A228:D228"/>
    <mergeCell ref="A210:D210"/>
    <mergeCell ref="A218:D218"/>
    <mergeCell ref="A251:D251"/>
    <mergeCell ref="A34:D34"/>
    <mergeCell ref="A38:B38"/>
    <mergeCell ref="A39:D39"/>
    <mergeCell ref="A50:D50"/>
    <mergeCell ref="A51:B51"/>
    <mergeCell ref="A53:B53"/>
    <mergeCell ref="A55:B55"/>
    <mergeCell ref="A62:D62"/>
    <mergeCell ref="A104:B104"/>
    <mergeCell ref="A113:B113"/>
    <mergeCell ref="A105:D105"/>
    <mergeCell ref="A84:D84"/>
    <mergeCell ref="A114:D114"/>
    <mergeCell ref="A129:B129"/>
    <mergeCell ref="A130:D130"/>
    <mergeCell ref="A145:B145"/>
    <mergeCell ref="A146:D146"/>
    <mergeCell ref="A120:D120"/>
    <mergeCell ref="A155:B155"/>
    <mergeCell ref="A156:D156"/>
    <mergeCell ref="A167:D167"/>
    <mergeCell ref="A180:D180"/>
    <mergeCell ref="A181:B181"/>
    <mergeCell ref="A182:D182"/>
    <mergeCell ref="A187:D187"/>
    <mergeCell ref="A192:D192"/>
    <mergeCell ref="A201:D201"/>
    <mergeCell ref="A208:D208"/>
    <mergeCell ref="A1:C1"/>
    <mergeCell ref="A3:C3"/>
    <mergeCell ref="A7:D7"/>
    <mergeCell ref="A355:B355"/>
    <mergeCell ref="A356:D356"/>
    <mergeCell ref="A284:D284"/>
    <mergeCell ref="A281:B281"/>
    <mergeCell ref="A301:D301"/>
    <mergeCell ref="A309:D309"/>
    <mergeCell ref="A318:D318"/>
    <mergeCell ref="A322:B322"/>
    <mergeCell ref="A323:D323"/>
    <mergeCell ref="A341:D341"/>
    <mergeCell ref="A348:D348"/>
    <mergeCell ref="A294:D294"/>
    <mergeCell ref="A5:D5"/>
    <mergeCell ref="A282:D282"/>
    <mergeCell ref="A429:D429"/>
    <mergeCell ref="A439:D439"/>
    <mergeCell ref="A365:B365"/>
    <mergeCell ref="A366:D366"/>
    <mergeCell ref="A334:D334"/>
  </mergeCells>
  <phoneticPr fontId="3" type="noConversion"/>
  <pageMargins left="0.45" right="0" top="0" bottom="0" header="0.3" footer="0.3"/>
  <pageSetup paperSize="9" scale="70" orientation="landscape"/>
  <extLst>
    <ext xmlns:mx="http://schemas.microsoft.com/office/mac/excel/2008/main" uri="{64002731-A6B0-56B0-2670-7721B7C09600}">
      <mx:PLV Mode="1" OnePage="0" WScale="6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6"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фЦС ПЛАН 2018.</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Microsoft Office User</cp:lastModifiedBy>
  <cp:lastPrinted>2017-07-18T08:45:02Z</cp:lastPrinted>
  <dcterms:created xsi:type="dcterms:W3CDTF">2015-01-09T09:45:15Z</dcterms:created>
  <dcterms:modified xsi:type="dcterms:W3CDTF">2018-06-08T12:33:50Z</dcterms:modified>
</cp:coreProperties>
</file>