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autoCompressPictures="0"/>
  <mc:AlternateContent xmlns:mc="http://schemas.openxmlformats.org/markup-compatibility/2006">
    <mc:Choice Requires="x15">
      <x15ac:absPath xmlns:x15ac="http://schemas.microsoft.com/office/spreadsheetml/2010/11/ac" url="/Users/Marija/Desktop/BUDŽETI/Budžet 2023./"/>
    </mc:Choice>
  </mc:AlternateContent>
  <xr:revisionPtr revIDLastSave="0" documentId="13_ncr:1_{9CC5E3F4-F633-3B43-AF81-0F56D9EF4DC3}" xr6:coauthVersionLast="47" xr6:coauthVersionMax="47" xr10:uidLastSave="{00000000-0000-0000-0000-000000000000}"/>
  <bookViews>
    <workbookView xWindow="1100" yWindow="500" windowWidth="34520" windowHeight="19680" tabRatio="793" xr2:uid="{00000000-000D-0000-FFFF-FFFF00000000}"/>
  </bookViews>
  <sheets>
    <sheet name="фЦС ПЛАН 2023." sheetId="6" r:id="rId1"/>
    <sheet name="Sheet1" sheetId="7" r:id="rId2"/>
  </sheets>
  <definedNames>
    <definedName name="_ftn1" localSheetId="0">'фЦС ПЛАН 2023.'!#REF!</definedName>
    <definedName name="_ftnref1" localSheetId="0">'фЦС ПЛАН 2023.'!#REF!</definedName>
    <definedName name="_xlnm.Print_Area" localSheetId="0">'фЦС ПЛАН 2023.'!$A$1:$E$545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83" i="6" l="1"/>
  <c r="D17" i="6"/>
  <c r="D50" i="6"/>
  <c r="D70" i="6"/>
  <c r="D207" i="6"/>
  <c r="E252" i="6"/>
  <c r="D286" i="6"/>
  <c r="D460" i="6"/>
  <c r="B29" i="7" l="1"/>
  <c r="D109" i="6"/>
  <c r="D403" i="6"/>
  <c r="D394" i="6"/>
  <c r="D384" i="6"/>
  <c r="D404" i="6"/>
  <c r="D451" i="6" l="1"/>
  <c r="D456" i="6"/>
  <c r="D431" i="6"/>
  <c r="D422" i="6"/>
  <c r="D413" i="6"/>
  <c r="D395" i="6"/>
  <c r="D385" i="6"/>
  <c r="D374" i="6"/>
  <c r="D48" i="6" l="1"/>
  <c r="D47" i="6"/>
  <c r="D52" i="6"/>
  <c r="D56" i="6"/>
  <c r="E469" i="6" l="1"/>
  <c r="E193" i="6"/>
  <c r="E172" i="6"/>
  <c r="D144" i="6"/>
  <c r="D120" i="6"/>
  <c r="D117" i="6"/>
  <c r="C116" i="6" l="1"/>
  <c r="D208" i="6"/>
  <c r="E209" i="6" s="1"/>
  <c r="D450" i="6"/>
  <c r="D449" i="6"/>
  <c r="D448" i="6"/>
  <c r="D447" i="6"/>
  <c r="D446" i="6"/>
  <c r="D440" i="6"/>
  <c r="D438" i="6"/>
  <c r="D441" i="6"/>
  <c r="D439" i="6"/>
  <c r="D437" i="6"/>
  <c r="D436" i="6"/>
  <c r="D261" i="6"/>
  <c r="D240" i="6"/>
  <c r="D157" i="6"/>
  <c r="D24" i="6"/>
  <c r="E442" i="6" l="1"/>
  <c r="E37" i="6"/>
  <c r="E452" i="6"/>
  <c r="E457" i="6"/>
  <c r="D301" i="6" l="1"/>
  <c r="D296" i="6"/>
  <c r="E297" i="6" s="1"/>
  <c r="E287" i="6"/>
  <c r="E524" i="6"/>
  <c r="E522" i="6"/>
  <c r="C520" i="6"/>
  <c r="C514" i="6"/>
  <c r="C511" i="6"/>
  <c r="C509" i="6"/>
  <c r="C496" i="6"/>
  <c r="C488" i="6"/>
  <c r="C486" i="6"/>
  <c r="C484" i="6"/>
  <c r="C482" i="6"/>
  <c r="C479" i="6"/>
  <c r="C477" i="6"/>
  <c r="D74" i="6"/>
  <c r="D178" i="6"/>
  <c r="D177" i="6"/>
  <c r="D49" i="6"/>
  <c r="D176" i="6"/>
  <c r="D133" i="6"/>
  <c r="D132" i="6"/>
  <c r="D131" i="6"/>
  <c r="D66" i="6"/>
  <c r="D53" i="6"/>
  <c r="C5" i="6"/>
  <c r="D42" i="6"/>
  <c r="C505" i="6"/>
  <c r="C501" i="6" s="1"/>
  <c r="E461" i="6"/>
  <c r="E292" i="6"/>
  <c r="E257" i="6"/>
  <c r="E246" i="6"/>
  <c r="E228" i="6"/>
  <c r="E158" i="6"/>
  <c r="D106" i="6"/>
  <c r="D101" i="6"/>
  <c r="D88" i="6"/>
  <c r="D418" i="6"/>
  <c r="D180" i="6"/>
  <c r="D179" i="6"/>
  <c r="D430" i="6"/>
  <c r="D429" i="6"/>
  <c r="D428" i="6"/>
  <c r="D427" i="6"/>
  <c r="D237" i="6"/>
  <c r="E241" i="6" s="1"/>
  <c r="D165" i="6"/>
  <c r="D92" i="6"/>
  <c r="D94" i="6"/>
  <c r="D95" i="6"/>
  <c r="D86" i="6"/>
  <c r="D87" i="6"/>
  <c r="D67" i="6"/>
  <c r="D69" i="6"/>
  <c r="D79" i="6"/>
  <c r="D80" i="6"/>
  <c r="D102" i="6"/>
  <c r="D105" i="6"/>
  <c r="D107" i="6"/>
  <c r="D108" i="6"/>
  <c r="D122" i="6"/>
  <c r="D123" i="6"/>
  <c r="D124" i="6"/>
  <c r="D125" i="6"/>
  <c r="D126" i="6"/>
  <c r="D135" i="6"/>
  <c r="D140" i="6"/>
  <c r="E146" i="6" s="1"/>
  <c r="D150" i="6"/>
  <c r="E153" i="6" s="1"/>
  <c r="D162" i="6"/>
  <c r="D163" i="6"/>
  <c r="D185" i="6"/>
  <c r="E188" i="6" s="1"/>
  <c r="D197" i="6"/>
  <c r="E198" i="6" s="1"/>
  <c r="D202" i="6"/>
  <c r="E203" i="6" s="1"/>
  <c r="E214" i="6"/>
  <c r="E222" i="6"/>
  <c r="E233" i="6"/>
  <c r="E262" i="6"/>
  <c r="D266" i="6"/>
  <c r="E267" i="6" s="1"/>
  <c r="E272" i="6"/>
  <c r="E302" i="6"/>
  <c r="D311" i="6"/>
  <c r="D312" i="6"/>
  <c r="D319" i="6"/>
  <c r="D320" i="6"/>
  <c r="D321" i="6"/>
  <c r="D326" i="6"/>
  <c r="D328" i="6"/>
  <c r="F328" i="6" s="1"/>
  <c r="D329" i="6"/>
  <c r="D331" i="6"/>
  <c r="D337" i="6"/>
  <c r="D338" i="6"/>
  <c r="D344" i="6"/>
  <c r="E346" i="6" s="1"/>
  <c r="D350" i="6"/>
  <c r="D352" i="6"/>
  <c r="D353" i="6"/>
  <c r="D359" i="6"/>
  <c r="D360" i="6"/>
  <c r="D369" i="6"/>
  <c r="D370" i="6"/>
  <c r="D371" i="6"/>
  <c r="D372" i="6"/>
  <c r="D373" i="6"/>
  <c r="D379" i="6"/>
  <c r="D380" i="6"/>
  <c r="D381" i="6"/>
  <c r="D382" i="6"/>
  <c r="D383" i="6"/>
  <c r="D390" i="6"/>
  <c r="D391" i="6"/>
  <c r="D392" i="6"/>
  <c r="D393" i="6"/>
  <c r="D400" i="6"/>
  <c r="D401" i="6"/>
  <c r="D402" i="6"/>
  <c r="D409" i="6"/>
  <c r="D410" i="6"/>
  <c r="D411" i="6"/>
  <c r="D412" i="6"/>
  <c r="D419" i="6"/>
  <c r="D420" i="6"/>
  <c r="D421" i="6"/>
  <c r="E304" i="6" l="1"/>
  <c r="E375" i="6"/>
  <c r="E112" i="6"/>
  <c r="E43" i="6"/>
  <c r="D65" i="6"/>
  <c r="E81" i="6" s="1"/>
  <c r="E386" i="6"/>
  <c r="E414" i="6"/>
  <c r="E322" i="6"/>
  <c r="E396" i="6"/>
  <c r="E332" i="6"/>
  <c r="E405" i="6"/>
  <c r="E339" i="6"/>
  <c r="E423" i="6"/>
  <c r="E354" i="6"/>
  <c r="E166" i="6"/>
  <c r="C121" i="6"/>
  <c r="E127" i="6" s="1"/>
  <c r="E432" i="6"/>
  <c r="E181" i="6"/>
  <c r="E361" i="6"/>
  <c r="E136" i="6"/>
  <c r="E59" i="6"/>
  <c r="D91" i="6"/>
  <c r="E528" i="6"/>
  <c r="C11" i="6" s="1"/>
  <c r="C528" i="6"/>
  <c r="E313" i="6"/>
  <c r="D85" i="6"/>
  <c r="C532" i="6"/>
  <c r="E363" i="6" l="1"/>
  <c r="C535" i="6" s="1"/>
  <c r="C9" i="6" s="1"/>
  <c r="E97" i="6"/>
  <c r="E216" i="6" s="1"/>
  <c r="C537" i="6"/>
  <c r="C10" i="6"/>
  <c r="E471" i="6"/>
  <c r="C536" i="6" s="1"/>
  <c r="C538" i="6"/>
  <c r="C534" i="6"/>
  <c r="C7" i="6"/>
  <c r="E472" i="6" l="1"/>
  <c r="C8" i="6"/>
  <c r="C6" i="6" l="1"/>
  <c r="C533" i="6"/>
  <c r="C540" i="6" s="1"/>
  <c r="C13" i="6" l="1"/>
  <c r="D7" i="6" s="1"/>
  <c r="D9" i="6" l="1"/>
  <c r="D10" i="6"/>
  <c r="D8" i="6"/>
  <c r="D11" i="6"/>
  <c r="D6" i="6"/>
  <c r="D5" i="6"/>
  <c r="D13" i="6" l="1"/>
</calcChain>
</file>

<file path=xl/sharedStrings.xml><?xml version="1.0" encoding="utf-8"?>
<sst xmlns="http://schemas.openxmlformats.org/spreadsheetml/2006/main" count="687" uniqueCount="518">
  <si>
    <t>ТОТАЛ</t>
  </si>
  <si>
    <t>Слање филмова и осталих материјала за селекцију</t>
  </si>
  <si>
    <t>Путни трошкови</t>
  </si>
  <si>
    <t>Оброци</t>
  </si>
  <si>
    <t xml:space="preserve">Преносиве акредитациjе </t>
  </si>
  <si>
    <t>Припадаjуће дневнице</t>
  </si>
  <si>
    <t>Смештаj</t>
  </si>
  <si>
    <t>Путно осигурање</t>
  </si>
  <si>
    <t>Дневнице</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</si>
  <si>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</si>
  <si>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Авио карте</t>
  </si>
  <si>
    <t>Чланство</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</si>
  <si>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</si>
  <si>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Годишња чланарина</t>
  </si>
  <si>
    <t>Авионске карте</t>
  </si>
  <si>
    <t>Котизациjа за радионице</t>
  </si>
  <si>
    <t>Смештај</t>
  </si>
  <si>
    <t>Дневнице за представнике ФЦС</t>
  </si>
  <si>
    <t>Промотивни материјали на штанду (торбе, УСБ картице)</t>
  </si>
  <si>
    <t>Слање филмова и материјала</t>
  </si>
  <si>
    <t>Превоз страних експерата у локалу</t>
  </si>
  <si>
    <t>Радни ручкови</t>
  </si>
  <si>
    <t>Припрема каталога (прикупљање и обрада података и материјала за филмове)</t>
  </si>
  <si>
    <t>Превод</t>
  </si>
  <si>
    <t>Штампа</t>
  </si>
  <si>
    <t>ТОТАЛ МЕЂУНАРОДНА</t>
  </si>
  <si>
    <t>Маркет Канског филмског фестивала</t>
  </si>
  <si>
    <t>Маркет Берлинског филмског фестивала</t>
  </si>
  <si>
    <t>Сараjево филм фестивал</t>
  </si>
  <si>
    <t xml:space="preserve">Дугометражни играни филм </t>
  </si>
  <si>
    <t>Комерцијални филм</t>
  </si>
  <si>
    <t>Филм са националном темом</t>
  </si>
  <si>
    <t>Развој и унапређење сценарија</t>
  </si>
  <si>
    <t>Преддигитализација и дигитализација</t>
  </si>
  <si>
    <t>Израда индекса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</si>
  <si>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</si>
  <si>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</si>
  <si>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</si>
  <si>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</si>
  <si>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</si>
  <si>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</si>
  <si>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</si>
  <si>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</si>
  <si>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</si>
  <si>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</si>
  <si>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</si>
  <si>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</si>
  <si>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</si>
  <si>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</si>
  <si>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</si>
  <si>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</si>
  <si>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</si>
  <si>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</si>
  <si>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</si>
  <si>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</si>
  <si>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</si>
  <si>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</si>
  <si>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</si>
  <si>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</si>
  <si>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</si>
  <si>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</si>
  <si>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</si>
  <si>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</si>
  <si>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</si>
  <si>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</si>
  <si>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</si>
  <si>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</si>
  <si>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</si>
  <si>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</si>
  <si>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</si>
  <si>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</si>
  <si>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</si>
  <si>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</si>
  <si>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</si>
  <si>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</si>
  <si>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</si>
  <si>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</si>
  <si>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</si>
  <si>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</si>
  <si>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</si>
  <si>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</si>
  <si>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</si>
  <si>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</si>
  <si>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</si>
  <si>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</si>
  <si>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</si>
  <si>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</si>
  <si>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</si>
  <si>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</si>
  <si>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</si>
  <si>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</si>
  <si>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Филмски центар Србије</t>
  </si>
  <si>
    <t>ТОТАЛ РЕДОВНА ДЕЛАТНОСТ И ИНВЕСТИЦИЈЕ</t>
  </si>
  <si>
    <t xml:space="preserve">ТОТАЛ ПРОГРАМИ </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</si>
  <si>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</si>
  <si>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</si>
  <si>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</si>
  <si>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документарни филм</t>
  </si>
  <si>
    <t>Краткометражни играни филм</t>
  </si>
  <si>
    <t>Краткометражни анимирани филм</t>
  </si>
  <si>
    <t>Краткометражни документарни филм</t>
  </si>
  <si>
    <t>Директор Филмског центра Србиjе</t>
  </si>
  <si>
    <t xml:space="preserve">ТОТАЛ ПРОГРАМИ, РЕДОВНА ДЕЛАТНОСТ И ИНВЕСТИЦИЈЕ </t>
  </si>
  <si>
    <t>РСД</t>
  </si>
  <si>
    <t>CineLink - Награда ФЦС</t>
  </si>
  <si>
    <t>Трст - When East Meets West</t>
  </si>
  <si>
    <t>Награда филмског центра Србије за најбољи пројекат у развоју</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</si>
  <si>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</si>
  <si>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</si>
  <si>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Новчани износ награде добитнику</t>
  </si>
  <si>
    <t>Уметнички обликовани предмет</t>
  </si>
  <si>
    <t>REACT / партнерство и учешће продуцената из Србије</t>
  </si>
  <si>
    <t xml:space="preserve">Котизација за учешће српских продуцената </t>
  </si>
  <si>
    <t>Трошкови телефона</t>
  </si>
  <si>
    <t xml:space="preserve">Организација мрежних догађаја, награде и остале услуге из области културе </t>
  </si>
  <si>
    <t>Лекутра/коректура</t>
  </si>
  <si>
    <t>Прелом и дизајн</t>
  </si>
  <si>
    <t>Ауторски хонорар</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</si>
  <si>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</si>
  <si>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</si>
  <si>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Фонд за подршку, подстицање и промоцију српског филма у земљи и свету</t>
  </si>
  <si>
    <t xml:space="preserve">Дневнице за представникe ФЦС </t>
  </si>
  <si>
    <t>Оглашавање у страним и домаћим филмским часописима и ПР</t>
  </si>
  <si>
    <t>Награда ”Небојша Поповић”</t>
  </si>
  <si>
    <t>Награда младе публике - Young Audience Award European film academy</t>
  </si>
  <si>
    <t xml:space="preserve">ИДФА - промоциjа документарних филмова </t>
  </si>
  <si>
    <t xml:space="preserve">Радионице за документарни филм  </t>
  </si>
  <si>
    <t>FNE - Film New Europe Association</t>
  </si>
  <si>
    <t>Фонд за подршку посебним програмима</t>
  </si>
  <si>
    <t>Стимулације (гледаност, дистрибутера домаћег филма, учешћа домаћих филмова на страним фестивалима и приказиваштва)</t>
  </si>
  <si>
    <t>Смештај за учеснике</t>
  </si>
  <si>
    <t>Филмски центар Србије у сарадњи са Независним Филмским центром - Филмарт из Пожеге стратешки помаже развој филмске критике и критичког промишљања код младих филмских професионалаца, развијањем портала ”Филмоскопија”, који је део веб стране Филмског центра Србије.
”Филмоскопиjа” у свом садржаjу нуди критике домаћих и страних остварења, есеjе коjи пропитуjу феномене у друштву користећи филм или телевизиjу као jедну од главних референци и теориjске огледе који ће у фокусу имати како историjу филма, тако и актуелна остварења и њихов значаj. Поред тога, интервjуи с филмским радницима и значаjним именима у култури, отвориће простор за диjалог и размену мишљења.</t>
  </si>
  <si>
    <t>ФИЛМОСКОПИЈА</t>
  </si>
  <si>
    <t>Развој пројеката дугометражног играног и документарног филма</t>
  </si>
  <si>
    <t>Дизајн и прелом</t>
  </si>
  <si>
    <t>Занатске радионице за неформално образовање</t>
  </si>
  <si>
    <t>Одржавање радионица за преквалификацију и дошколовавање суфицитарних кадрова у кинематографији</t>
  </si>
  <si>
    <t>Најам опреме потребне за реализацију радионице ( фар, кран, агрегат, расветна тела…)</t>
  </si>
  <si>
    <t>Трошкови реализације</t>
  </si>
  <si>
    <t>Павиљон, изнајмљивање простора, изградња и декорација</t>
  </si>
  <si>
    <t>Трошкови на штанду</t>
  </si>
  <si>
    <t>ПР - промоција активности ФЦС</t>
  </si>
  <si>
    <t>%</t>
  </si>
  <si>
    <t>ОСКАР - номинациjа и подршка учешћу филма кандидата из Србиjе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</si>
  <si>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</si>
  <si>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Дневнице за представника ФЦС</t>
  </si>
  <si>
    <t>Стална активност ФЦС у промоцији српског филма је и подршка продуцентским кућама у слању промотивних материјала и DCP-јева фестивалима и филмским смотрама. За оне фестивале који немају праксу да ове трошкове покривају, ФЦС чини у интересу продуцентских кућа.</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</si>
  <si>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</si>
  <si>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t>
  </si>
  <si>
    <t>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конкурс ФЦС за мањинске копродукциjе и начини аплицирања.</t>
  </si>
  <si>
    <t>Путни трошкови - 4 авионскe карте</t>
  </si>
  <si>
    <t>Путни трошкови - 6 авионских карата</t>
  </si>
  <si>
    <t xml:space="preserve">САРАДЊА СА ФРАНЦУСКОМ ПО СПОРАЗУМУ У ОБЛАСТИ ФИЛМА </t>
  </si>
  <si>
    <t>Радионица за анимирани филм - партнерство са Филмским центром Србије</t>
  </si>
  <si>
    <t>Трошкови организације 4 радионице</t>
  </si>
  <si>
    <t>Смештај у Annecy (Фестивал анимираног филма)</t>
  </si>
  <si>
    <t>Реализације сарадње између Француске и Србије на основу Уговора које су потписале Владе Србије и Француске приликом посете г. Макрона. Циљ је повећање броја билатералних копродукција, унапређење квалитета сарадње између две кинематографије, као и помоћ и подршка француских експерата у области анимације, централизације бископских Box office, аудио-визуелног закона и других области кинематографије.</t>
  </si>
  <si>
    <t>Као и сваке године, једно од стратешки важних тачака за промоцију српског филма је Сарајево филм фестивал. Филмови из Србије су у виће наврата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и спонзорише награду за најбољи пројекат на CineLinku.</t>
  </si>
  <si>
    <t>Aкредитације за учеснике</t>
  </si>
  <si>
    <t>ДОМАЋА САРАДЊA</t>
  </si>
  <si>
    <t>Чланство у Европској филмској промоцији (European Film Promotion)</t>
  </si>
  <si>
    <t>Оглашавање и ПР у страним и домаћим филмским часописима у циљу промоције српске кинематографије.</t>
  </si>
  <si>
    <t>МЕЂУНАРОДНА САРАДЊА</t>
  </si>
  <si>
    <t>TОТАЛ ДОМАЋА САРАДЊА</t>
  </si>
  <si>
    <t>ДОМАЋА САРАДЊА</t>
  </si>
  <si>
    <t>Дигитализација и рестаурација  U - MATIC трака</t>
  </si>
  <si>
    <t>Филмски центар Србије завршио је попис и документацију свих материјалних добара и докумената у својим магацинима и сматрамо да би било неопходно сачувати одређене снимке и документе, од којих су већина из краја 70-их и 80-их. Такође неопходна је дигитализација Годишњака ради лакшег сналажења и проналажења материјала.</t>
  </si>
  <si>
    <t>Дигитализација и рестаурација грађе Филмског центра Србије</t>
  </si>
  <si>
    <t>Лекутра-коректура</t>
  </si>
  <si>
    <t xml:space="preserve">Дизајн и трошкови прелома </t>
  </si>
  <si>
    <t>2.1.</t>
  </si>
  <si>
    <t>2.2.</t>
  </si>
  <si>
    <t>2.3.</t>
  </si>
  <si>
    <t>2.4.</t>
  </si>
  <si>
    <t>2.6.</t>
  </si>
  <si>
    <t>2.7.</t>
  </si>
  <si>
    <t>2.8.</t>
  </si>
  <si>
    <t>2.5.</t>
  </si>
  <si>
    <t>2.10.</t>
  </si>
  <si>
    <t>3.1.</t>
  </si>
  <si>
    <t>3.2.</t>
  </si>
  <si>
    <t>3.3.</t>
  </si>
  <si>
    <t>3.4.</t>
  </si>
  <si>
    <t>3.5.</t>
  </si>
  <si>
    <t>3.6.</t>
  </si>
  <si>
    <t>3.7.</t>
  </si>
  <si>
    <t>3.8.</t>
  </si>
  <si>
    <t>3.9.</t>
  </si>
  <si>
    <t>3.12.</t>
  </si>
  <si>
    <t>3.13.</t>
  </si>
  <si>
    <t>3.15.</t>
  </si>
  <si>
    <t>Материјали за саобраћај</t>
  </si>
  <si>
    <t>Капитално одржавање зграда и објеката</t>
  </si>
  <si>
    <t>2.18.</t>
  </si>
  <si>
    <t>Помоћ у медицинском лечењу запосленог</t>
  </si>
  <si>
    <t>5.000 ЕУР.</t>
  </si>
  <si>
    <t>500 EUR.</t>
  </si>
  <si>
    <t>30.000 RSD.</t>
  </si>
  <si>
    <t>10.000 EUR.</t>
  </si>
  <si>
    <t>5.000 EUR.</t>
  </si>
  <si>
    <t>4400 EUR.</t>
  </si>
  <si>
    <t>3500 EUR.</t>
  </si>
  <si>
    <t>2500 EUR.</t>
  </si>
  <si>
    <t>800 EUR.</t>
  </si>
  <si>
    <t>3000 EUR.</t>
  </si>
  <si>
    <t>2000 EUR.</t>
  </si>
  <si>
    <t>1000 EUR.</t>
  </si>
  <si>
    <t>1200 EUR.</t>
  </si>
  <si>
    <t>1230 EUR.</t>
  </si>
  <si>
    <t>2.000 EUR.</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</si>
  <si>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2022. треба платити заостале обавезе, а током септембра 2022. треба платити обавезе за организациjу учешћа на Маркету 2023.</t>
  </si>
  <si>
    <t>Трошкови на штанду и репрезентација</t>
  </si>
  <si>
    <t>Штанд и најам опреме за штанд (штанд, панели, намештај media wall)</t>
  </si>
  <si>
    <t>Акредитације</t>
  </si>
  <si>
    <t>Преносиве акредитације</t>
  </si>
  <si>
    <t>1.000 EUR</t>
  </si>
  <si>
    <t xml:space="preserve">Чланство </t>
  </si>
  <si>
    <t>EFAD - чланство</t>
  </si>
  <si>
    <t>ЕФАД (удружење директора европских филмских агенција) - окупљају директоре националних филмских фондова европских земаља. 35 чланица ЕФАД-а су државни ограни или институције повезане са владом, задужене за национално финансирање аудио-визуелног сектора и са одговорношћу да саветују или регулишу све аспекте аудио-визуелне политике. ФЦС је пуноправни члан ЕФАД-а од 2019. године.</t>
  </si>
  <si>
    <t>500 ЕУР.</t>
  </si>
  <si>
    <t>Дигитализација и архивирање штампане архивске грађе (Годишњаци, дописи и сл.)</t>
  </si>
  <si>
    <t>Рестаурација и дигитализација филмски свезака</t>
  </si>
  <si>
    <t>АФИФС</t>
  </si>
  <si>
    <t xml:space="preserve">Трошкови организације </t>
  </si>
  <si>
    <t xml:space="preserve">ТОТАЛ </t>
  </si>
  <si>
    <t>120.000 RSD.</t>
  </si>
  <si>
    <t xml:space="preserve">”Марко Глушац” наградa се додељује најперспективнијем млађем монтажеру дугих и кратких, играних и документарних форми.
То признање већ седму годину за редом додељује Фондација "Марко Глушац", коју су основали редитељи, продуценти, монтажери и пријатељи, људи који су сарађивали са Марком, једним од наших највећих филмских монтажера. </t>
  </si>
  <si>
    <t>Награда ”Марко Глушац”</t>
  </si>
  <si>
    <t>2.19.</t>
  </si>
  <si>
    <t>15 EUR х 4 дана*3 особе</t>
  </si>
  <si>
    <t>3.000 EUR.</t>
  </si>
  <si>
    <t>Анимација (Радионица за анимацију) у Француској</t>
  </si>
  <si>
    <t>Како би се унапредио садржаj саjта Филмског центра Србиjе и осталих медиjа где ФЦС обjављуjе своjе вести идеjа jе да се ангажуjе уредник коjи би уређивао и прослеђивао медиjске садржаjе.</t>
  </si>
  <si>
    <t>Филмски центар Србије подстакао је мале приказиваче да се удруже у независну биоскопску мрежу како би заједнички развијали филмску културу широм Србије. У 2022. ФЦС жели да учествује у даљем ширењу независне биоскопске мреже и професионалном усавршавању филмских уредника и кинооператера у независној биоскопској мрежи, што је логичан наставак дигитализацији биоскопа широм Србије.</t>
  </si>
  <si>
    <t>3.10.</t>
  </si>
  <si>
    <t>Скенирање фотографија, постера и докумената</t>
  </si>
  <si>
    <t>4000 EUR.</t>
  </si>
  <si>
    <t>1500 EUR.</t>
  </si>
  <si>
    <t>Тираж: 500 страна</t>
  </si>
  <si>
    <t>Тираж: 500</t>
  </si>
  <si>
    <t>Тираж:  500</t>
  </si>
  <si>
    <t>Подршка  (Филмски центар Србије ко-издавач)</t>
  </si>
  <si>
    <t xml:space="preserve">Огласи у новинама, израда плаката </t>
  </si>
  <si>
    <t>ФОНД ЗА ПОМОЋ ДРУГИМ ИЗДАВАЧИМА</t>
  </si>
  <si>
    <t>3.11.</t>
  </si>
  <si>
    <t>Гордан Матић</t>
  </si>
  <si>
    <t>САЛА СРПСКОГ ФИЛМА</t>
  </si>
  <si>
    <t>Организација, израда, објављивање и промоција текстова за потребе портала ”Филмоскопија”</t>
  </si>
  <si>
    <t>Авио карте гостију</t>
  </si>
  <si>
    <t>Смештај гостију у Београду</t>
  </si>
  <si>
    <t>Атеље Варан</t>
  </si>
  <si>
    <t xml:space="preserve"> BPX</t>
  </si>
  <si>
    <t>Суфинансирање дистрибуције домаћих филмова у Србији</t>
  </si>
  <si>
    <t>Дизајн каталога, огласа, позивница и постера</t>
  </si>
  <si>
    <t xml:space="preserve">Копродукциони форум When East Мeets West - WEMW се одржава у оквиру Међународног филмског фестивала у Трсту уз помоћ ФВГ аудиовизуелног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проjекте коjи су у развоjу отвара се могућност за међународне копродукциjе. На форуму годишње се окупља око 400 филмских професионалаца из целе Европе. ФЦС jе, као основни партнер и покровитељ главне награде заступљен у свим брошурама и програмима.
</t>
  </si>
  <si>
    <t>2.000 EUR</t>
  </si>
  <si>
    <t>1175 EUR.</t>
  </si>
  <si>
    <t>ПЛАН И ПРОГРАМ ЗА 2023. ГОДИНУ</t>
  </si>
  <si>
    <t>ПРИКАЗ ПЛАНИРАНИХ РАСХОДА ФЦС У 2023.</t>
  </si>
  <si>
    <t>КОНКУРСИ - План и програм  2023.</t>
  </si>
  <si>
    <t>2000 ЕУР</t>
  </si>
  <si>
    <t>Фонд за подршку</t>
  </si>
  <si>
    <t>Регионална и прекогранична сарадња са другим десковима</t>
  </si>
  <si>
    <t xml:space="preserve">Организација промотивног догађаја </t>
  </si>
  <si>
    <t>Презентација MEDIA потпрограма</t>
  </si>
  <si>
    <t xml:space="preserve">Освежење за учеснике </t>
  </si>
  <si>
    <t>Едукативни догађаји</t>
  </si>
  <si>
    <t>Хонорари за предаваче</t>
  </si>
  <si>
    <t>Закуп простора и опреме</t>
  </si>
  <si>
    <t>Оброци за госте</t>
  </si>
  <si>
    <t>Присуство на домаћим филмским фестивалима</t>
  </si>
  <si>
    <t>Присуство на интернационалним филмским маркетима</t>
  </si>
  <si>
    <t xml:space="preserve">Издавање брошуре MEDIA деска Србије: годишња бошура са кратким прегледом свих конкурса који постоје у оквиру MEDIA потпрограма и успешних пројеката из Србије који су подржани од стране MEDIA потпрограма. </t>
  </si>
  <si>
    <t>Лектура и коректура</t>
  </si>
  <si>
    <t>Штампа (обим страна:30; тираж: 1500 )</t>
  </si>
  <si>
    <t>Промоција MEDIA деска</t>
  </si>
  <si>
    <t>Промоција MEDIA деска обухвата неколико активности: израда промотивних материјала, рекламирање MEDIA потпрограма и MEDIA деска у каталозима домаћих филмских фестивала, рекламирање, организација 3 промотивна догађаја током следећих догађаја: Fest Forward и два догађаја ће накнадно бити одређени</t>
  </si>
  <si>
    <t>Промотивни материјал (торбе, свеске, оловке, цегери)</t>
  </si>
  <si>
    <t>Брошуре MEDIA деска</t>
  </si>
  <si>
    <t>Рекламирање у каталозима и на сајтовима филмских фестивала</t>
  </si>
  <si>
    <t>Путни трошкови  (2 особа x 2 путовања)</t>
  </si>
  <si>
    <t>Закуп опреме и простора (2 догађаја)</t>
  </si>
  <si>
    <t>Организација семинара, тренинга и предавања (4 инострана предавача)</t>
  </si>
  <si>
    <t>600 EUR</t>
  </si>
  <si>
    <t xml:space="preserve">1000 EUR </t>
  </si>
  <si>
    <t>Администрирање МЕДИА сајта</t>
  </si>
  <si>
    <t xml:space="preserve">1500 EUR </t>
  </si>
  <si>
    <t>Дневнице (2 особе x 2 дана )</t>
  </si>
  <si>
    <t>200 EUR x 2 огласа</t>
  </si>
  <si>
    <t>Присуство на 2 интернационална филмска маркета у трајању до 3 дана:</t>
  </si>
  <si>
    <t>Дневнице (2 особе x 3 дана x 2 фестивала )</t>
  </si>
  <si>
    <t>Хотелски смештај (2 особа x 3 ноћења x 2 фестивала)</t>
  </si>
  <si>
    <t xml:space="preserve">15 EUR x 3 дана x 4 фестивала </t>
  </si>
  <si>
    <t>350 EUR x 2 особа  x 2 фестивала</t>
  </si>
  <si>
    <t>110 EUR x 3 ноћења x 2 особа х 2 фестивала</t>
  </si>
  <si>
    <t>Путни  трошкови (2 особе x 2 путовања)</t>
  </si>
  <si>
    <t>Посета 2 домаћа филмска фестивала и организација MEDIA деск инфо штанда</t>
  </si>
  <si>
    <t xml:space="preserve">20 EUR x 2 дана x 2 фестивала x 2 особа </t>
  </si>
  <si>
    <t>Хотелски смештај (2 особе x 2 ноћења х 2 програма)</t>
  </si>
  <si>
    <t>100 EUR x 2 ноћи x 2 особа х  2 програма</t>
  </si>
  <si>
    <t>Дневнице (2 особе x 8 дана)</t>
  </si>
  <si>
    <t>150 EUR х 2 брошуре</t>
  </si>
  <si>
    <t>120 EUR х 2 брошуре</t>
  </si>
  <si>
    <t>250 EUR х 2 брошуре</t>
  </si>
  <si>
    <t>Путни трошкови (2 особе x 2 путовања)</t>
  </si>
  <si>
    <t>100 EUR x 3 дана x 2 особе из ФЦС-а</t>
  </si>
  <si>
    <t>300.000 RSD.</t>
  </si>
  <si>
    <t>15 EUR х 10 дана x 5 особе</t>
  </si>
  <si>
    <t>80.000 RSD x 5 особе</t>
  </si>
  <si>
    <t>15.000 RSD  x 5 особе</t>
  </si>
  <si>
    <t xml:space="preserve">250.000 RSD. </t>
  </si>
  <si>
    <t>I део трошкова за Маркет 2024, септембар 2023.</t>
  </si>
  <si>
    <t>60.000 RSD * 6 особа</t>
  </si>
  <si>
    <t>Смештај за представнике ФЦС</t>
  </si>
  <si>
    <t>700 EUR</t>
  </si>
  <si>
    <t>400 EUR</t>
  </si>
  <si>
    <t>1.000 EUR.</t>
  </si>
  <si>
    <t>У оквиру ИДФА - Међународног фестивала документарног филма у Амстердаму (новембар 2023), коjи jе jедан од наjвећих и наjважниjих фестивала документарног филма на свету, ФЦС планира представљање српских документарних филмова, имајући у виду веома позитивно искуство из претходних година. Такође, имаjући у виду да класичан маркет не постоjи и да продуценти самостално врше промоциjу у оквиру програма "Docs for Sale".</t>
  </si>
  <si>
    <t>Producers on the Move, април-мај 2023.</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</si>
  <si>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2023. </t>
  </si>
  <si>
    <t>BPX - Best Praktice Exchange основан jе 2012. године, како би се охрабрила размена и сарадња између филмских фондова. Два пута годишње организуjу се (у Берлину и Кану) састанци представника фондова како би разменили идеjе и искуства. У 2022. години организован је састанак током Канског филмског фестивала на коме представљене најбоље праксе филмских фондова у новом, дигиталном окружењу.</t>
  </si>
  <si>
    <t>Чланство за 2023.</t>
  </si>
  <si>
    <t>ФРКА - филмска радионица Крагујевац је пројекат у којем полазници, кроз предавања и практичне вежбе, упознају филмско и ТВ стваралаштво. Радионица је замишљена по најсавременијим моделима светских филмских радионица. Кроз теорију се упознају са 7 области настанка филма, а потом снимају кратки филм по сценарију насталим током рада на радионици.</t>
  </si>
  <si>
    <t>ФРКА - филмска радионица</t>
  </si>
  <si>
    <t>Интеракција: студентски филмски камп  је програм намењен студентима филмских академија и подразумева продукцију кратких документараца. Програм се реализује од 2006. године у циљу промовисања кратког документарног филма међу младима – студентима филмских академија, као и подстицања њиховог умрежавања и размене знања и искуства кроз рад у мултинационалним екипама.</t>
  </si>
  <si>
    <t>Интеракција - студентски филмски камп</t>
  </si>
  <si>
    <t>5.1.</t>
  </si>
  <si>
    <t>5.2.</t>
  </si>
  <si>
    <t>5.3.</t>
  </si>
  <si>
    <t>5.4.</t>
  </si>
  <si>
    <t>5.7.</t>
  </si>
  <si>
    <t>Филмски центар Србије током 2023. године намерава да распише конкурсе у 21 конкурснe категоријe.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Почев од 2017. године, а по налогу Државне ревизије, Филмски центар Србије уплаћује средства добитницима на рачуне отворене код Управе за трезор. За све конкурсне категорије, уплаћују се комплетна средства. Начин финансирања дугометражних играних филмова у претходним годинама подразумевао је  вишегодишње финасирање и исплату средства по траншама, те из тог разлога постоји посебна позиција за дуговања из које се исплаћују средства за дугометражне игране филмове који су добили подршку ранијих  година.</t>
  </si>
  <si>
    <t>Франуско-српски сусрети на Фестивалу ауторског филма</t>
  </si>
  <si>
    <t>15.000 EUR.</t>
  </si>
  <si>
    <t>10.000 EUR</t>
  </si>
  <si>
    <t xml:space="preserve">Котизација </t>
  </si>
  <si>
    <t xml:space="preserve">Авионске карте за српске аниматоре (3 особе) </t>
  </si>
  <si>
    <t>Путни трошкови за 3 представника ФЦС</t>
  </si>
  <si>
    <t>60.000 RSD * 3 особа</t>
  </si>
  <si>
    <t>800.000 RSD</t>
  </si>
  <si>
    <t>40.000 RSD x 3 особе</t>
  </si>
  <si>
    <t>150 EUR * 3 особе * 3 ноћења</t>
  </si>
  <si>
    <t>Tрошкови промоције номинованог филма</t>
  </si>
  <si>
    <t>400.000 RSD</t>
  </si>
  <si>
    <t>3.000.000 RSD</t>
  </si>
  <si>
    <t>Дугометражни филм за децу и омладину</t>
  </si>
  <si>
    <t xml:space="preserve">25.000 RSD x 8 особа </t>
  </si>
  <si>
    <t>REACT је заједничка развојна иницијатива (Италија, Словенија, Хрватска) коју је 2015. године покренуо италијански ФВГ аудиовизуелни фонд.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Од 2019. године Србија је уз Словенију, Италију и Хрватску пуноправни члан REACT-а и самим тим српски филмски професионалци су сада у прилици да похађаjу броjне REACT радионице и да се приjављуjу за програм копродукционог финансирања у склопу поменуте инциjативе. ФЦС би сносио трошкове транспорта за учеснике из Србије, а сами учесници би сносили трошкове смештаја. До сада су четири српска филма добила подршку за развој.</t>
  </si>
  <si>
    <t>Студио за анимирани филм Фуруна и Омладинска престоница Европе Нови Сад (ОПЕНС) планираjу да у 2023. години одрже 4 радионице анимациjе за средњошколце и студенте из Воjводине и целе Србиjе са траjањем од по 3 месеца. ОПЕНС jе краjем 2020. године у сарадњи са Матицом Српском одабрао 6 познатих српских пословица, а крајем 2021. године расписаће конкурс за средње школе Воjводине да ученици напишу сценарио на тему тих 6 пословица. Студио Фуруна ће одабрати по 7 до 9 полазника по радионици и са њима уз детаљну супервизиjу и менторство произвести по jедан анимирани филм на свака 3 месеца. Млади талентовани аниматори ће на наjбољи начин проћи кроз све фазе израде кратког филма: развоj, продукциjу, обраду и све принципе и техничке аспекте овог креативног процеса.</t>
  </si>
  <si>
    <t>У оквиру индустријског програма Black Night FIlm Festival у Талину, ФЦС представља модел функционисања - подршке кинематографији, са акцентом на филмове намењене публици и жанровске филмове, не запостављајући art house филмове. 
Паралелено са учешћем на Индустријскoм дeлу програмa фестивала у Талину, планирана је панорама новог српског филма - излог савремениог филмског стваралаштва у Србији - жанровска разноврсност, генерацијска заступљеност, младе снаге. ФЦС планира да понуди неколико пројеката који би били укључени у корпус Маркет пројеката.</t>
  </si>
  <si>
    <t>15 EUR x 4 дана x 3 особе</t>
  </si>
  <si>
    <t>Фонд за подршку развоја пројекта</t>
  </si>
  <si>
    <t xml:space="preserve">15 EUR x 2 дана х 2 путовања x 3 особе из ФЦС-а </t>
  </si>
  <si>
    <t xml:space="preserve">100 EUR x 2  дана х 2 путовања x 3 особе из ФЦС-а </t>
  </si>
  <si>
    <t>Понта Лопуд Фестивал организуjе редитељске, глумачке и сниматељске маjсторске курсеве, специjална предавања и практичне радионице за посебно одабране младе филмске професионалце из региjе. Учесници се бираjу на основу досадашњег радног искуства и показаног талента, а имаjу могућност да учествуjу на квалитетним курсевима и радионицама коjе посебно за њих држе светски филмски професионалци и вишеструки добитници филмских награда, попут Оскара и Златне палме (гостуjући предавачи у 2022. години били су Joel Coen, Frances McDormand и Monica Lenczewska). Партнерство Филмског центра Србиjе са Фестивалом Понта Лопуд, пружа талентима из Србиjе jединствену прилику за стицање нових знања, развоj успешних кариjера као и за стварање дугорочних професионалних  и приjатељских односа, нарочито имаjући у виду да jе Понта Лопуд Фестивал jедини такав у региону.</t>
  </si>
  <si>
    <t xml:space="preserve">Авио карте (2 редитеља, 2 глумца, 2 студента и 2 представника ФЦС-а) </t>
  </si>
  <si>
    <t>15 EUR x 4 дана x 2 особе из ФЦС-а</t>
  </si>
  <si>
    <t>Понта Лопуд Фестивал (стручна радионица)</t>
  </si>
  <si>
    <t xml:space="preserve">Иницијативом три државе – Србија, Северна Македонија и Албанија договорена је сарадња на промоцији земаља, која укључује и промоцију кинематографија, заједничку платформу за промоцију филмова  и заједничка улагања. Због заједничког интереса за развој локалних привреда, три балканска лидера договорила су стварање економске зоне, која би додатно унапредила политичке и економске односе и јачала културне везе међу народима. </t>
  </si>
  <si>
    <t>Смештај представника ФЦС-а у Северну Македонији и Албанији</t>
  </si>
  <si>
    <t xml:space="preserve">Нове манифестациjе и иницијативе </t>
  </si>
  <si>
    <t>Маркет у Кану је, традиционално, најзначајније место за промоцију кинематографије. Наредно издање овог фестивала је изузетна прилика да се крунишу напори који су учињени током 2021. и 2022. и представе сви они филмови који су већ побрали велику пажњу међународне и домаће јавности као и филмови који још увек нису имали светску премијеру. Већ етаблирани регионални штанд у Кану jе идеална позициjа за промоциjу српског филма.</t>
  </si>
  <si>
    <t>2.17.</t>
  </si>
  <si>
    <t>2.16.</t>
  </si>
  <si>
    <r>
      <t xml:space="preserve">Годишњи програм промоције филмова добитника на конкурсима Филмског центра Србије у биоскопској сали - Сали српског филма. </t>
    </r>
    <r>
      <rPr>
        <b/>
        <sz val="12"/>
        <rFont val="Arial Narrow"/>
        <family val="2"/>
      </rPr>
      <t xml:space="preserve"> </t>
    </r>
  </si>
  <si>
    <t xml:space="preserve">Уредништво сајта ФЦС-а и друштвених мрежа </t>
  </si>
  <si>
    <t xml:space="preserve">Уређење сајта ФЦС и текстова на друштвеним мрежама </t>
  </si>
  <si>
    <t xml:space="preserve">Организација 4 инфодана у Србији: општа презентација MEDIA потпрограма.   </t>
  </si>
  <si>
    <t>23 EUR x 2 дана  x 2 особа х 4 догађаја</t>
  </si>
  <si>
    <t>Хотелски смештај  (2 особе x 2 ноћења x 4 догађаја)</t>
  </si>
  <si>
    <t>90 EUR x 2 ноћење x 2 особе x 4 догађаја</t>
  </si>
  <si>
    <t>10 EUR x 4 догађаја x 50 особа</t>
  </si>
  <si>
    <t xml:space="preserve">Организација и учешће 4 регионалне прекограничне сарадње са другим десковима из региона (Словенија, Хрватска, Босна и Херцеговина, Македонија, Црна Гора, Бугарска и Албанија) у трајању од 4 дана. </t>
  </si>
  <si>
    <t xml:space="preserve">Дневнице (2 особе x 3  дана x 4 сарадње ) </t>
  </si>
  <si>
    <t>15 EUR х 3 дана х 2 особе х 4 програма</t>
  </si>
  <si>
    <t>Хотелски смештај  (2 особе x 8 ноћења)</t>
  </si>
  <si>
    <t>90 EUR х 2 особе  х 8 ноћења</t>
  </si>
  <si>
    <t>Авио карте (2 особе x 4 путовања)</t>
  </si>
  <si>
    <t>250 EUR x 2 особе х 4 путовања</t>
  </si>
  <si>
    <t>600 EUR х 2 програма</t>
  </si>
  <si>
    <t>Путни трошкови предавача (6 предавача)</t>
  </si>
  <si>
    <t>350 EUR х 6 предавача</t>
  </si>
  <si>
    <t>Хотелски смештај за предаваче семинара (6 особе х 2 ноћења)</t>
  </si>
  <si>
    <t>110 EUR  x 2  ноћења х 6 особа</t>
  </si>
  <si>
    <t xml:space="preserve">600 EUR х 4 догађаја </t>
  </si>
  <si>
    <t xml:space="preserve">300 EUR x 6 предавача </t>
  </si>
  <si>
    <t>30 EUR  x 6 предавача х 2 дана</t>
  </si>
  <si>
    <t>Освежење за учеснике (6 догађаја)</t>
  </si>
  <si>
    <t>15 EUR x 30 гостију х 6 догађаја</t>
  </si>
  <si>
    <t>ТОТАЛ  MEDIA ДЕСК СРБИЈА</t>
  </si>
  <si>
    <t>MEDIA ДЕСК СРБИЈА</t>
  </si>
  <si>
    <t>БЕОГРАДСКИ МЕЂУНАРОДНИ САЈАМ КЊИГА 2023.</t>
  </si>
  <si>
    <t>Мањинске копродукције</t>
  </si>
  <si>
    <t xml:space="preserve">60.000 RSD x 10 особа </t>
  </si>
  <si>
    <t>Авио карте (7 продуцената и редитеља + 3 представника ФЦС-а)</t>
  </si>
  <si>
    <t>15 ЕUR * 2 дана х 2 особе</t>
  </si>
  <si>
    <t xml:space="preserve">Циљ MEDIA деска јесте да пружи подршку представницима аудиовизуелног и мултимедијалног сектора који желе да обезбеде учешће у потпрограму MEDIA. Потпрограм MEDIA у оквиру програма Кретивна Европа подстиче развој европског аудиовизуелног и мултимедијалног сектора, дајући подршку: развоју, дистрибуцији и промоцији европских играних, анимираних и документарних филмова и телевизијских серија, развоју и промоцији нових медијских садржаја, стручном усавршавању филмских професионалаца, развоју нових технологија и платформи за дистрибуцију аудиовизуелног садржаја, филмским фестивалима и развоју публике.
Кроз консултације, јавне догађаје и едукативне и мрежне активности које организује, MEDIA деск информише о могућностима које пружа MEDIA потпрограм и пружа подршку и савете за конкурисање. Сви догађаји који се планирају у раду деска током 2023. године треба да допринесу развоју аудиовизуелног сектора у Србији са једне стране и промоцији потпрограма MEDIA са друге. Задатак MEDIA деска јесте да промовише потпрограм MEDIA као јединствену прилику за финансиранје развоја аудиовизуелног сектора у земљама чланицама кроз организацију сопствених иницијатива као што су семинари, радионице, инфо дани и тренинзи, промовише, подржава и чествује уи прекограничној сарадњи, али и да учествује у догађајима и активностима који су на међународном нивоу организовани од стране EACEA  и DG CNECT .
</t>
  </si>
  <si>
    <t xml:space="preserve">ИЗДАВАШТВО - план и програм 2023. </t>
  </si>
  <si>
    <t>Израда индеска</t>
  </si>
  <si>
    <t>5000 EUR.</t>
  </si>
  <si>
    <t>Ауторски додатак Иван Велисављевић</t>
  </si>
  <si>
    <t>Скенирање фрејмова и визуелног материјала</t>
  </si>
  <si>
    <t>900 EUR.</t>
  </si>
  <si>
    <t>Михајло Илић: ФИЛМОЛОГИЈА</t>
  </si>
  <si>
    <t>Транскрипт разговора</t>
  </si>
  <si>
    <t>850 EUR.</t>
  </si>
  <si>
    <t>250.000 РСД</t>
  </si>
  <si>
    <t>150.000 РСД</t>
  </si>
  <si>
    <t>Опремање штанда</t>
  </si>
  <si>
    <t>100.000 РСД</t>
  </si>
  <si>
    <t>Хонорари за ангажоване продавце</t>
  </si>
  <si>
    <t>200.000РСД</t>
  </si>
  <si>
    <t>Тираж:  300</t>
  </si>
  <si>
    <t>Дарко Бајић: РАЗГОВОРИ СА ЕМИНЕНТНИМ РЕДИТЕЉИМА</t>
  </si>
  <si>
    <t>Плате, додаци и накнаде запослених</t>
  </si>
  <si>
    <t>6.700 EUR.</t>
  </si>
  <si>
    <t>400.000 RSD.</t>
  </si>
  <si>
    <t>35.000 RSD х 4 путовања  x 2 особе</t>
  </si>
  <si>
    <t>30.000 RSD  х 2 путовања</t>
  </si>
  <si>
    <t>Мајкл Рабигер: РЕЖИРАТИ/DIRECTING</t>
  </si>
  <si>
    <t>Ђорђе Бајић, Зоран Јанковић: КРИТИЧКИ ВОДИЧ КРОЗ СРПСКИ ФИЛМ  2018-2022</t>
  </si>
  <si>
    <t>800  EUR.</t>
  </si>
  <si>
    <t>Скенирање докумената</t>
  </si>
  <si>
    <t xml:space="preserve">Горан Гаврић: ФИЛОЗОФИЈА И ФИЛМ </t>
  </si>
  <si>
    <t>Слободан Шијан: ПИСЦИ У БИОСКОПУ (друго, допуњено и проширено издање)</t>
  </si>
  <si>
    <t>MEDIA</t>
  </si>
  <si>
    <t xml:space="preserve">Репрограмирање рата са претходних конкурса </t>
  </si>
  <si>
    <t>Дебитантски дугометражни филм (први и други филм редитеља)</t>
  </si>
  <si>
    <t>1) Отворени Балкан (Србија, Северна Македонија и Албанија)</t>
  </si>
  <si>
    <t>Копрудукцијски маркет у Паризу</t>
  </si>
  <si>
    <t>Путни трошкови за представнике српских пројеката и представнике ФЦС</t>
  </si>
  <si>
    <t xml:space="preserve">Смештаj учесника </t>
  </si>
  <si>
    <t>14 гостију x 2 ноћења x 170 EUR</t>
  </si>
  <si>
    <t>12 гостију x 50 EUR x 1 ручак</t>
  </si>
  <si>
    <t>Трансфер у локалу (од и до аеродрома)</t>
  </si>
  <si>
    <t>14 гостију x 70.000 RSD</t>
  </si>
  <si>
    <t>Учешће у трошковима партнерства са ДокСрбија</t>
  </si>
  <si>
    <t>30.000 EUR</t>
  </si>
  <si>
    <t>8.000 EUR</t>
  </si>
  <si>
    <t>400  ЕUR</t>
  </si>
  <si>
    <t>Путни трошкови (1 представника ФЦС и представник документариста + 2 продуцента)</t>
  </si>
  <si>
    <t>15 EUR x 1 особе x 4 дана</t>
  </si>
  <si>
    <t>500.000 RSD.</t>
  </si>
  <si>
    <t>3) Фестивал српског филма у Чикагу</t>
  </si>
  <si>
    <t>4) Дани српског филма у Пули, у сарадњи са Српским културним центром</t>
  </si>
  <si>
    <t xml:space="preserve">На иницијативу Словеначког филмског центра основан је нови међународни програм  “ReActing as a Star” посвећен подстицању умрежавању филмских и аудиовизуелних глумаца у региону и повећање њиховог присуства у еврпској филмској индустрији. Прво издање овог програма одржано је од 16. до 19. јуна у оквиру другог издања  Krafft Actors Film у оквиру другог издања Фестивала у Крању (Словенија) Како би повећао видљивост глумаца из региона и проширо огућност њиховог учешћа у међународној филмској индустрији, Словеначки фиилсмки центар, у сарадњи са Сарајево Филм фестивалом, Међународном мрежом  Casting Directors Netvork (ICDN) и партнерским филским центрима из Србије, Хрватске, Северне Македноје и Црне и Горе, успоставио је професионалну платформуу којој су учествовали глумци из региона. Првом издању присуствовали су српски глумци Катарина Марковић, Петар Бенчина и Милена Божић.   </t>
  </si>
  <si>
    <t>2.9.</t>
  </si>
  <si>
    <t>Фонд за подршку реализације програма</t>
  </si>
  <si>
    <t>Партнерство у реализацији програма</t>
  </si>
  <si>
    <t>2.12.</t>
  </si>
  <si>
    <t xml:space="preserve">40.000 EUR. </t>
  </si>
  <si>
    <t>2.13.</t>
  </si>
  <si>
    <t>2.14.</t>
  </si>
  <si>
    <t>2.15.</t>
  </si>
  <si>
    <t xml:space="preserve">Израда плана и програма три недеље радионица за занимање по секторима ( четири сектора друге године - камера, режија, продукција и специјални ефекти ) и предавачи </t>
  </si>
  <si>
    <t xml:space="preserve">4 х 500.000 RSD. </t>
  </si>
  <si>
    <t xml:space="preserve">5.5. </t>
  </si>
  <si>
    <t xml:space="preserve">5.6. </t>
  </si>
  <si>
    <t>5.9.</t>
  </si>
  <si>
    <t>2) ReActing as a Star</t>
  </si>
  <si>
    <t>Током 2021. године 7 домаћих филмских фестивала који приказују дугометражне игране филмове формирало је Мрежу која има за циљ да заједничким деловањем допринесу развојз приказивања и домаће кинематографије уопште. Чланови Мреже су: Фестивал европског филма Палић, Лесковачки интернационални фестивал филмске режије, Фестивал глумачких остбварења домаћег играног филма "Филмки сусрети Ниш", Фестивал ауторског филма Београд, Фестивал филмског сценарија Врњачка бања, Међународни филмски фестивал сниматељских остварења "Слика у покрету" и Шумадијски интернационални фестивал дебитантског филма. Циљеви Мреже су: 1.Умрежавање и сарадња чланица;  2. Промоција сваке чланице и њених издања; 3. Заједничка промоција; 4. Одржавање струковних радионица; 5. Додела струковних награда. Меморандум од сарадњи асоцијација филмских фестивала Србије.</t>
  </si>
  <si>
    <t xml:space="preserve">Подршка организацији - Фестивал филмског сценарија Врњачка Бања </t>
  </si>
  <si>
    <t xml:space="preserve">Подршка организацији - Европски филмски фестивал Палић </t>
  </si>
  <si>
    <t xml:space="preserve">Подршка организацији - Филмски сусрети Ниш </t>
  </si>
  <si>
    <t xml:space="preserve">Подршка организацији -  Шумадијски интернационални филмски фестивал </t>
  </si>
  <si>
    <t xml:space="preserve">Подршка организацији - Фестивал ауторског филма </t>
  </si>
  <si>
    <t xml:space="preserve">Подршка организацији - ЛИФФЕ Лексовачки интернационални фестивал филмске режије </t>
  </si>
  <si>
    <t xml:space="preserve">Потписан и ратификован споразум  између Србије и Италије о сарадњи у области кинематографије, који обухвата све нивое сарадње: развој пројеката,ко-продукцију, ко-дистрибуцију филмова, обезбеђивање средстава  за развој пројеката обезбеђују обе стране, потписнице споразума. Средства се додељују на основу конкура за развој  четири пројекта годишње - по два италијанска већинска и два српска већинска пројекта. </t>
  </si>
  <si>
    <t>Emmanuel Oberg: The Screenwriters` Troubleshooter</t>
  </si>
  <si>
    <t>Програм сарадње у области кинематографије Србије и Италије  - развој пројеката (Билатерални споразум о сарадњи између Србије и Италије)</t>
  </si>
  <si>
    <t>Подршка организацији - Слика у покрету</t>
  </si>
  <si>
    <t xml:space="preserve">Најам опреме </t>
  </si>
  <si>
    <t xml:space="preserve">Најам простора </t>
  </si>
  <si>
    <t>Авио карте (2 представника ФЦС-а, путовање у  Северну Македонију и Албанију)</t>
  </si>
  <si>
    <t xml:space="preserve">25.000 RSD x  2 особе из ФЦС-а х 2 путовања </t>
  </si>
  <si>
    <t>30.000 RSD x 3 особе</t>
  </si>
  <si>
    <t>90 EUR x 3 дана x 3 особе</t>
  </si>
  <si>
    <t>15 EUR x 4 дана x 3 особe</t>
  </si>
  <si>
    <t>500 ЕUR x 4</t>
  </si>
  <si>
    <t>45.000 RSD x 4 особа</t>
  </si>
  <si>
    <t>220 EUR x 4 особе x 3 ноћења</t>
  </si>
  <si>
    <t>5000 EUR</t>
  </si>
  <si>
    <t>Зграде и грађевински објекти</t>
  </si>
  <si>
    <t>Опрема за саобраћај</t>
  </si>
  <si>
    <t>Опрема за образовање, науку, културу и спорт</t>
  </si>
  <si>
    <t xml:space="preserve">Мрежа киноприказивача </t>
  </si>
  <si>
    <t>Дигитализација, обрада, припрема филмских плаката и постера период 1980-1989</t>
  </si>
  <si>
    <t>Надокнаде за 7 чланова жирија</t>
  </si>
  <si>
    <t>Дугометражни анимирани филм</t>
  </si>
  <si>
    <t>Недељко Ковачић:  Жика Митровић</t>
  </si>
  <si>
    <t xml:space="preserve">Тираж: 500 </t>
  </si>
  <si>
    <t>SYD FIELD: SCREEN WRITING</t>
  </si>
  <si>
    <t>600 EUR.</t>
  </si>
  <si>
    <t>700 EUR.</t>
  </si>
  <si>
    <t>300 EUR.</t>
  </si>
  <si>
    <t>5.10.</t>
  </si>
  <si>
    <t>5.11.</t>
  </si>
  <si>
    <t>Кристофер Воглер: Митска структура за писце</t>
  </si>
  <si>
    <t>Тираж: 500 (репринт)</t>
  </si>
  <si>
    <t>5.12.</t>
  </si>
  <si>
    <t>Путни трошкови - 2 авионских карата</t>
  </si>
  <si>
    <t>150.000 RSD * 6 особа</t>
  </si>
  <si>
    <t>100 x 1 особа</t>
  </si>
  <si>
    <t>30.000 RSD x 1 чланова ФЦС</t>
  </si>
  <si>
    <t>15 EUR x 3 дана  x 3 особe</t>
  </si>
  <si>
    <t>60.000 RSD.</t>
  </si>
  <si>
    <t>2x30.000 RSD</t>
  </si>
  <si>
    <t>58.330 EUR</t>
  </si>
  <si>
    <t>Авио карте (Загреб, Љубљана, Трст - 2 авио карате)</t>
  </si>
  <si>
    <t>2.200.0000 RSD.</t>
  </si>
  <si>
    <t>У Београду, 18.04.2023.</t>
  </si>
  <si>
    <t>3 х 10.000 EUR</t>
  </si>
  <si>
    <t>1.000.000 RSD</t>
  </si>
  <si>
    <t>5.8.</t>
  </si>
  <si>
    <t xml:space="preserve">II део трошкова за Маркет  2023. </t>
  </si>
  <si>
    <t>Талин (Black Night Film Festival) -  Србија у фокусу</t>
  </si>
  <si>
    <t>15 EUR * 2 особе  * 8 дана</t>
  </si>
  <si>
    <t>Авио превоз 1  представника ФЦС-а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</si>
</sst>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quot;RSD&quot;_);[Red]\(#,##0\ &quot;RSD&quot;\)"/>
  </numFmts>
  <fonts count="21" x14ac:knownFonts="1">
    <font>
      <sz val="12"/>
      <color theme="1"/>
      <name val="Calibri"/>
      <family val="2"/>
      <charset val="238"/>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sz val="12"/>
      <color rgb="FF9C0006"/>
      <name val="Calibri"/>
      <family val="2"/>
      <scheme val="minor"/>
    </font>
    <font>
      <sz val="12"/>
      <name val="Calibri"/>
      <family val="2"/>
      <scheme val="minor"/>
    </font>
    <font>
      <b/>
      <sz val="12"/>
      <color rgb="FFFF0000"/>
      <name val="Arial Narrow"/>
      <family val="2"/>
    </font>
    <font>
      <sz val="12"/>
      <color rgb="FFFF0000"/>
      <name val="Arial Narrow"/>
      <family val="2"/>
    </font>
    <font>
      <sz val="12"/>
      <color theme="1"/>
      <name val="Arial Narrow"/>
      <family val="2"/>
    </font>
    <font>
      <b/>
      <sz val="12"/>
      <name val="Calibri"/>
      <family val="2"/>
      <scheme val="minor"/>
    </font>
    <font>
      <b/>
      <sz val="12"/>
      <color theme="1"/>
      <name val="Arial Narrow"/>
      <family val="2"/>
    </font>
    <font>
      <b/>
      <sz val="12"/>
      <color rgb="FF0070C0"/>
      <name val="Arial Narrow"/>
      <family val="2"/>
    </font>
    <font>
      <sz val="12"/>
      <name val="Calibri"/>
      <family val="2"/>
      <charset val="238"/>
      <scheme val="minor"/>
    </font>
    <font>
      <b/>
      <sz val="12"/>
      <name val="Arial Narrow"/>
      <family val="2"/>
      <charset val="238"/>
    </font>
    <font>
      <b/>
      <sz val="12"/>
      <color theme="1"/>
      <name val="Arial Narrow"/>
      <family val="2"/>
      <charset val="238"/>
    </font>
    <font>
      <sz val="12"/>
      <color theme="1"/>
      <name val="Arial Narrow"/>
      <family val="2"/>
      <charset val="238"/>
    </font>
    <font>
      <sz val="12"/>
      <name val="Arial Narrow"/>
      <family val="2"/>
      <charset val="23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s>
  <borders count="5">
    <border>
      <left/>
      <right/>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95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6" fillId="0" borderId="0" applyFont="0" applyFill="0" applyBorder="0" applyAlignment="0" applyProtection="0"/>
    <xf numFmtId="0" fontId="7" fillId="0" borderId="0"/>
    <xf numFmtId="0" fontId="7" fillId="0" borderId="0"/>
    <xf numFmtId="0" fontId="8"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54">
    <xf numFmtId="0" fontId="0" fillId="0" borderId="0" xfId="0"/>
    <xf numFmtId="0" fontId="4" fillId="0" borderId="0" xfId="0" applyFont="1"/>
    <xf numFmtId="0" fontId="5" fillId="0" borderId="0" xfId="0" applyFont="1"/>
    <xf numFmtId="0" fontId="4" fillId="6" borderId="0" xfId="0" applyFont="1" applyFill="1"/>
    <xf numFmtId="0" fontId="4" fillId="3" borderId="0" xfId="0" applyFont="1" applyFill="1"/>
    <xf numFmtId="0" fontId="5" fillId="0" borderId="1" xfId="0" applyFont="1" applyBorder="1"/>
    <xf numFmtId="4" fontId="4" fillId="0" borderId="1" xfId="0" applyNumberFormat="1" applyFont="1" applyBorder="1" applyAlignment="1">
      <alignment horizontal="left"/>
    </xf>
    <xf numFmtId="0" fontId="4" fillId="0" borderId="1" xfId="0" applyFont="1" applyBorder="1"/>
    <xf numFmtId="4" fontId="5" fillId="0" borderId="1" xfId="0" applyNumberFormat="1" applyFont="1" applyBorder="1" applyAlignment="1">
      <alignment horizontal="right"/>
    </xf>
    <xf numFmtId="0" fontId="5" fillId="0" borderId="1" xfId="0" applyFont="1" applyBorder="1" applyAlignment="1">
      <alignment horizontal="left" vertical="center"/>
    </xf>
    <xf numFmtId="4" fontId="5" fillId="0" borderId="1" xfId="0" applyNumberFormat="1" applyFont="1" applyBorder="1"/>
    <xf numFmtId="0" fontId="5" fillId="3" borderId="1" xfId="0" applyFont="1" applyFill="1" applyBorder="1" applyAlignment="1">
      <alignment horizontal="left" vertical="center"/>
    </xf>
    <xf numFmtId="4" fontId="5" fillId="3" borderId="1" xfId="0" applyNumberFormat="1" applyFont="1" applyFill="1" applyBorder="1"/>
    <xf numFmtId="0" fontId="4" fillId="0" borderId="1" xfId="0" applyFont="1" applyBorder="1" applyAlignment="1">
      <alignment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wrapText="1"/>
    </xf>
    <xf numFmtId="0" fontId="4" fillId="0" borderId="1" xfId="0" applyFont="1" applyBorder="1" applyAlignment="1">
      <alignment vertical="center" wrapText="1"/>
    </xf>
    <xf numFmtId="0" fontId="5" fillId="0" borderId="1" xfId="0" applyFont="1" applyBorder="1" applyAlignment="1">
      <alignment horizontal="right" vertical="center"/>
    </xf>
    <xf numFmtId="4" fontId="5" fillId="0" borderId="1" xfId="0" applyNumberFormat="1" applyFont="1" applyBorder="1" applyAlignment="1">
      <alignment horizontal="righ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vertical="center" wrapText="1"/>
    </xf>
    <xf numFmtId="4" fontId="4" fillId="2" borderId="1" xfId="0" applyNumberFormat="1" applyFont="1" applyFill="1" applyBorder="1" applyAlignment="1">
      <alignment vertical="center"/>
    </xf>
    <xf numFmtId="4" fontId="5" fillId="2" borderId="1" xfId="0" applyNumberFormat="1" applyFont="1" applyFill="1" applyBorder="1" applyAlignment="1">
      <alignment vertical="center" wrapText="1"/>
    </xf>
    <xf numFmtId="0" fontId="5" fillId="4" borderId="1" xfId="0" applyFont="1" applyFill="1" applyBorder="1" applyAlignment="1">
      <alignment horizontal="right" wrapText="1"/>
    </xf>
    <xf numFmtId="0" fontId="5" fillId="0" borderId="1" xfId="0" applyFont="1" applyBorder="1" applyAlignment="1">
      <alignment wrapText="1"/>
    </xf>
    <xf numFmtId="0" fontId="5" fillId="0" borderId="1" xfId="0" applyFont="1" applyBorder="1" applyAlignment="1">
      <alignment horizontal="right" vertical="center" wrapText="1"/>
    </xf>
    <xf numFmtId="4" fontId="4" fillId="2" borderId="1" xfId="0" applyNumberFormat="1" applyFont="1" applyFill="1" applyBorder="1" applyAlignment="1">
      <alignment vertical="center" wrapText="1"/>
    </xf>
    <xf numFmtId="3" fontId="5" fillId="0" borderId="1" xfId="0" applyNumberFormat="1" applyFont="1" applyBorder="1" applyAlignment="1">
      <alignment horizontal="right" vertical="center" wrapText="1"/>
    </xf>
    <xf numFmtId="0" fontId="4" fillId="6" borderId="1" xfId="0" applyFont="1" applyFill="1" applyBorder="1" applyAlignment="1">
      <alignment vertical="center" wrapText="1"/>
    </xf>
    <xf numFmtId="4" fontId="4" fillId="0" borderId="1" xfId="0" applyNumberFormat="1"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right" vertical="top" wrapText="1"/>
    </xf>
    <xf numFmtId="4" fontId="4" fillId="3" borderId="1" xfId="0" applyNumberFormat="1" applyFont="1" applyFill="1" applyBorder="1" applyAlignment="1">
      <alignment vertical="center" wrapText="1"/>
    </xf>
    <xf numFmtId="0" fontId="5" fillId="0" borderId="1" xfId="0" applyFont="1" applyBorder="1" applyAlignment="1">
      <alignment horizontal="left" vertical="top" wrapText="1"/>
    </xf>
    <xf numFmtId="3" fontId="4" fillId="0" borderId="1" xfId="0" applyNumberFormat="1" applyFont="1" applyBorder="1" applyAlignment="1">
      <alignment horizontal="right" vertical="center" wrapText="1"/>
    </xf>
    <xf numFmtId="0" fontId="5" fillId="6" borderId="1" xfId="0" applyFont="1" applyFill="1" applyBorder="1" applyAlignment="1">
      <alignment horizontal="left" vertical="top" wrapText="1"/>
    </xf>
    <xf numFmtId="0" fontId="5" fillId="6" borderId="1" xfId="0" applyFont="1" applyFill="1" applyBorder="1" applyAlignment="1">
      <alignment horizontal="center" vertical="top" wrapText="1"/>
    </xf>
    <xf numFmtId="0" fontId="4" fillId="6" borderId="1" xfId="0" applyFont="1" applyFill="1" applyBorder="1"/>
    <xf numFmtId="3" fontId="5" fillId="4"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wrapText="1"/>
    </xf>
    <xf numFmtId="4" fontId="5" fillId="4" borderId="1" xfId="0" applyNumberFormat="1" applyFont="1" applyFill="1" applyBorder="1" applyAlignment="1">
      <alignment horizontal="right" vertical="center" wrapText="1"/>
    </xf>
    <xf numFmtId="0" fontId="4" fillId="0" borderId="1" xfId="0" applyFont="1" applyBorder="1" applyAlignment="1">
      <alignment horizontal="center" wrapText="1"/>
    </xf>
    <xf numFmtId="0" fontId="5" fillId="0" borderId="1" xfId="0" applyFont="1" applyBorder="1" applyAlignment="1">
      <alignment vertical="center" wrapText="1"/>
    </xf>
    <xf numFmtId="3" fontId="4" fillId="6" borderId="1" xfId="0" applyNumberFormat="1" applyFont="1" applyFill="1" applyBorder="1" applyAlignment="1">
      <alignment wrapText="1"/>
    </xf>
    <xf numFmtId="4" fontId="4" fillId="6" borderId="1" xfId="0" applyNumberFormat="1" applyFont="1" applyFill="1" applyBorder="1" applyAlignment="1">
      <alignment horizontal="right" vertical="center" wrapText="1"/>
    </xf>
    <xf numFmtId="4" fontId="4" fillId="6" borderId="1" xfId="0" applyNumberFormat="1" applyFont="1" applyFill="1" applyBorder="1" applyAlignment="1">
      <alignment vertical="center" wrapText="1"/>
    </xf>
    <xf numFmtId="0" fontId="4" fillId="6" borderId="1" xfId="0" applyFont="1" applyFill="1" applyBorder="1" applyAlignment="1">
      <alignment wrapText="1"/>
    </xf>
    <xf numFmtId="0" fontId="4" fillId="6" borderId="1" xfId="0" applyFont="1" applyFill="1" applyBorder="1" applyAlignment="1">
      <alignment vertical="center"/>
    </xf>
    <xf numFmtId="4" fontId="4" fillId="6" borderId="1" xfId="460" applyNumberFormat="1" applyFont="1" applyFill="1" applyBorder="1" applyAlignment="1">
      <alignment horizontal="right" vertical="center" wrapText="1"/>
    </xf>
    <xf numFmtId="0" fontId="4" fillId="6" borderId="1" xfId="460" applyFont="1" applyFill="1" applyBorder="1" applyAlignment="1">
      <alignment vertical="center"/>
    </xf>
    <xf numFmtId="0" fontId="4" fillId="6" borderId="1" xfId="460" applyFont="1" applyFill="1" applyBorder="1" applyAlignment="1">
      <alignment vertical="center" wrapText="1"/>
    </xf>
    <xf numFmtId="0" fontId="5" fillId="6" borderId="1" xfId="0" applyFont="1" applyFill="1" applyBorder="1" applyAlignment="1">
      <alignment horizontal="right" vertical="center" wrapText="1"/>
    </xf>
    <xf numFmtId="4" fontId="5" fillId="6" borderId="1" xfId="0" applyNumberFormat="1" applyFont="1" applyFill="1" applyBorder="1" applyAlignment="1">
      <alignment vertical="center" wrapText="1"/>
    </xf>
    <xf numFmtId="0" fontId="5" fillId="6" borderId="1" xfId="0" applyFont="1" applyFill="1" applyBorder="1" applyAlignment="1">
      <alignment horizontal="left" vertical="center" wrapText="1"/>
    </xf>
    <xf numFmtId="4"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horizontal="left" wrapText="1"/>
    </xf>
    <xf numFmtId="1" fontId="4" fillId="6" borderId="1" xfId="0" applyNumberFormat="1" applyFont="1" applyFill="1" applyBorder="1" applyAlignment="1">
      <alignment vertical="center" wrapText="1"/>
    </xf>
    <xf numFmtId="0" fontId="4" fillId="2" borderId="1" xfId="0" applyFont="1" applyFill="1" applyBorder="1" applyAlignment="1">
      <alignment horizontal="right" vertical="center" wrapText="1"/>
    </xf>
    <xf numFmtId="0" fontId="12" fillId="0" borderId="0" xfId="0" applyFont="1"/>
    <xf numFmtId="4" fontId="4" fillId="6" borderId="1" xfId="0" applyNumberFormat="1" applyFont="1" applyFill="1" applyBorder="1" applyAlignment="1">
      <alignment vertical="center"/>
    </xf>
    <xf numFmtId="0" fontId="5" fillId="6" borderId="1" xfId="0" applyFont="1" applyFill="1" applyBorder="1" applyAlignment="1">
      <alignment horizontal="right"/>
    </xf>
    <xf numFmtId="0" fontId="5" fillId="3" borderId="1" xfId="0" applyFont="1" applyFill="1" applyBorder="1" applyAlignment="1">
      <alignment horizontal="center" vertical="top" wrapText="1"/>
    </xf>
    <xf numFmtId="0" fontId="5" fillId="6" borderId="1" xfId="0" applyFont="1" applyFill="1" applyBorder="1" applyAlignment="1">
      <alignment vertical="center" wrapText="1"/>
    </xf>
    <xf numFmtId="0" fontId="4" fillId="3" borderId="1" xfId="0" applyFont="1" applyFill="1" applyBorder="1" applyAlignment="1">
      <alignment wrapText="1"/>
    </xf>
    <xf numFmtId="165" fontId="4" fillId="6" borderId="1" xfId="0" applyNumberFormat="1" applyFont="1" applyFill="1" applyBorder="1" applyAlignment="1">
      <alignment horizontal="left" vertical="center" wrapText="1"/>
    </xf>
    <xf numFmtId="3" fontId="5" fillId="6" borderId="1" xfId="0" applyNumberFormat="1" applyFont="1" applyFill="1" applyBorder="1" applyAlignment="1">
      <alignment horizontal="right" vertical="center" wrapText="1"/>
    </xf>
    <xf numFmtId="3" fontId="4" fillId="6" borderId="1" xfId="0" applyNumberFormat="1" applyFont="1" applyFill="1" applyBorder="1" applyAlignment="1">
      <alignment vertical="center" wrapText="1"/>
    </xf>
    <xf numFmtId="0" fontId="4" fillId="6" borderId="1" xfId="0" applyFont="1" applyFill="1" applyBorder="1" applyAlignment="1">
      <alignment horizontal="left" vertical="center" wrapText="1"/>
    </xf>
    <xf numFmtId="3" fontId="4" fillId="6" borderId="1" xfId="0" applyNumberFormat="1" applyFont="1" applyFill="1" applyBorder="1" applyAlignment="1">
      <alignment horizontal="left" vertical="top" wrapText="1"/>
    </xf>
    <xf numFmtId="0" fontId="4" fillId="6" borderId="1" xfId="0" applyFont="1" applyFill="1" applyBorder="1" applyAlignment="1">
      <alignment horizontal="left" wrapText="1"/>
    </xf>
    <xf numFmtId="0" fontId="4" fillId="3" borderId="1" xfId="458" applyFont="1" applyFill="1" applyBorder="1" applyAlignment="1">
      <alignment vertical="center" wrapText="1"/>
    </xf>
    <xf numFmtId="4" fontId="4" fillId="3" borderId="1" xfId="459" applyNumberFormat="1" applyFont="1" applyFill="1" applyBorder="1" applyAlignment="1" applyProtection="1">
      <alignment vertical="center"/>
      <protection locked="0"/>
    </xf>
    <xf numFmtId="0" fontId="4" fillId="0" borderId="1" xfId="0" applyFont="1" applyBorder="1" applyAlignment="1">
      <alignment vertical="center"/>
    </xf>
    <xf numFmtId="0" fontId="5" fillId="3" borderId="1" xfId="0" applyFont="1" applyFill="1" applyBorder="1" applyAlignment="1">
      <alignment horizontal="center" vertical="center" wrapText="1"/>
    </xf>
    <xf numFmtId="4" fontId="4" fillId="0" borderId="1" xfId="0" applyNumberFormat="1" applyFont="1" applyBorder="1" applyAlignment="1">
      <alignment vertical="center"/>
    </xf>
    <xf numFmtId="4" fontId="5" fillId="0" borderId="1" xfId="0" applyNumberFormat="1" applyFont="1" applyBorder="1" applyAlignment="1">
      <alignment horizontal="right" vertical="center"/>
    </xf>
    <xf numFmtId="10" fontId="4" fillId="0" borderId="1" xfId="0" applyNumberFormat="1" applyFont="1" applyBorder="1" applyAlignment="1">
      <alignment vertical="center"/>
    </xf>
    <xf numFmtId="4" fontId="4" fillId="3" borderId="1" xfId="0" applyNumberFormat="1" applyFont="1" applyFill="1" applyBorder="1" applyAlignment="1">
      <alignment vertical="center"/>
    </xf>
    <xf numFmtId="10" fontId="5" fillId="0" borderId="1" xfId="0" applyNumberFormat="1" applyFont="1" applyBorder="1" applyAlignment="1">
      <alignment vertical="center"/>
    </xf>
    <xf numFmtId="4" fontId="5" fillId="0" borderId="1" xfId="457" applyNumberFormat="1" applyFont="1" applyBorder="1" applyAlignment="1">
      <alignment vertical="center"/>
    </xf>
    <xf numFmtId="4" fontId="4" fillId="4" borderId="1" xfId="0" applyNumberFormat="1" applyFont="1" applyFill="1" applyBorder="1" applyAlignment="1">
      <alignment vertical="center"/>
    </xf>
    <xf numFmtId="4" fontId="5" fillId="4" borderId="1" xfId="0" applyNumberFormat="1" applyFont="1" applyFill="1" applyBorder="1" applyAlignment="1">
      <alignment vertical="center" wrapText="1"/>
    </xf>
    <xf numFmtId="4" fontId="4" fillId="4" borderId="1" xfId="0" applyNumberFormat="1" applyFont="1" applyFill="1" applyBorder="1" applyAlignment="1">
      <alignment vertical="center" wrapText="1"/>
    </xf>
    <xf numFmtId="4" fontId="5" fillId="0" borderId="1" xfId="0" applyNumberFormat="1" applyFont="1" applyBorder="1" applyAlignment="1">
      <alignment vertical="center"/>
    </xf>
    <xf numFmtId="0" fontId="5" fillId="6" borderId="1" xfId="0" applyFont="1" applyFill="1" applyBorder="1" applyAlignment="1">
      <alignment horizontal="center" vertical="center" wrapText="1"/>
    </xf>
    <xf numFmtId="0" fontId="4" fillId="6" borderId="1" xfId="0" applyFont="1" applyFill="1" applyBorder="1" applyAlignment="1">
      <alignment horizontal="left" vertical="top" wrapText="1"/>
    </xf>
    <xf numFmtId="4" fontId="5" fillId="6" borderId="1" xfId="0" applyNumberFormat="1" applyFont="1" applyFill="1" applyBorder="1" applyAlignment="1">
      <alignment horizontal="right" vertical="top" wrapText="1"/>
    </xf>
    <xf numFmtId="4" fontId="11" fillId="6" borderId="1" xfId="0" applyNumberFormat="1" applyFont="1" applyFill="1" applyBorder="1" applyAlignment="1">
      <alignment vertical="center" wrapText="1"/>
    </xf>
    <xf numFmtId="3" fontId="11" fillId="6" borderId="1" xfId="0" applyNumberFormat="1" applyFont="1" applyFill="1" applyBorder="1" applyAlignment="1">
      <alignment horizontal="left" vertical="top" wrapText="1"/>
    </xf>
    <xf numFmtId="0" fontId="11" fillId="6" borderId="1" xfId="0" applyFont="1" applyFill="1" applyBorder="1" applyAlignment="1">
      <alignment vertical="center" wrapText="1"/>
    </xf>
    <xf numFmtId="0" fontId="10" fillId="2" borderId="1" xfId="0" applyFont="1" applyFill="1" applyBorder="1" applyAlignment="1">
      <alignment horizontal="left" vertical="center" wrapText="1"/>
    </xf>
    <xf numFmtId="0" fontId="5" fillId="6" borderId="1" xfId="0" applyFont="1" applyFill="1" applyBorder="1" applyAlignment="1">
      <alignment horizontal="left" wrapText="1"/>
    </xf>
    <xf numFmtId="0" fontId="5" fillId="6" borderId="1" xfId="0" applyFont="1" applyFill="1" applyBorder="1" applyAlignment="1">
      <alignment vertical="center"/>
    </xf>
    <xf numFmtId="0" fontId="5" fillId="3" borderId="1" xfId="0" applyFont="1" applyFill="1" applyBorder="1" applyAlignment="1">
      <alignment vertical="center"/>
    </xf>
    <xf numFmtId="0" fontId="5" fillId="0" borderId="1" xfId="0" applyFont="1" applyBorder="1" applyAlignment="1">
      <alignment vertical="center"/>
    </xf>
    <xf numFmtId="0" fontId="4" fillId="3" borderId="1" xfId="0" applyFont="1" applyFill="1" applyBorder="1" applyAlignment="1">
      <alignment vertical="center" wrapText="1"/>
    </xf>
    <xf numFmtId="0" fontId="4" fillId="0" borderId="0" xfId="0" applyFont="1" applyAlignment="1">
      <alignment vertical="center"/>
    </xf>
    <xf numFmtId="0" fontId="13" fillId="6" borderId="1" xfId="0" applyFont="1" applyFill="1" applyBorder="1" applyAlignment="1">
      <alignment vertical="center" wrapText="1"/>
    </xf>
    <xf numFmtId="0" fontId="5" fillId="7" borderId="1" xfId="0" applyFont="1" applyFill="1" applyBorder="1" applyAlignment="1">
      <alignment horizontal="left" wrapText="1"/>
    </xf>
    <xf numFmtId="3" fontId="4" fillId="7" borderId="1" xfId="0" applyNumberFormat="1" applyFont="1" applyFill="1" applyBorder="1" applyAlignment="1">
      <alignment horizontal="left" vertical="top" wrapText="1"/>
    </xf>
    <xf numFmtId="3" fontId="11" fillId="7" borderId="1" xfId="0" applyNumberFormat="1" applyFont="1" applyFill="1" applyBorder="1" applyAlignment="1">
      <alignment horizontal="left" vertical="top" wrapText="1"/>
    </xf>
    <xf numFmtId="4" fontId="4" fillId="7" borderId="1" xfId="0" applyNumberFormat="1" applyFont="1" applyFill="1" applyBorder="1" applyAlignment="1">
      <alignment vertical="center" wrapText="1"/>
    </xf>
    <xf numFmtId="4" fontId="11" fillId="7" borderId="1" xfId="0" applyNumberFormat="1" applyFont="1" applyFill="1" applyBorder="1" applyAlignment="1">
      <alignment vertical="center" wrapText="1"/>
    </xf>
    <xf numFmtId="4" fontId="5" fillId="7" borderId="1" xfId="0" applyNumberFormat="1" applyFont="1" applyFill="1" applyBorder="1" applyAlignment="1">
      <alignment vertical="center" wrapText="1"/>
    </xf>
    <xf numFmtId="0" fontId="4" fillId="6" borderId="1" xfId="0" applyFont="1" applyFill="1" applyBorder="1" applyAlignment="1">
      <alignment horizontal="right" vertical="center" wrapText="1"/>
    </xf>
    <xf numFmtId="0" fontId="5" fillId="6" borderId="1" xfId="0" applyFont="1" applyFill="1" applyBorder="1"/>
    <xf numFmtId="0" fontId="14" fillId="2" borderId="1" xfId="0" applyFont="1" applyFill="1" applyBorder="1" applyAlignment="1">
      <alignment horizontal="right" vertical="center" wrapText="1"/>
    </xf>
    <xf numFmtId="0" fontId="14" fillId="6" borderId="1" xfId="0" applyFont="1" applyFill="1" applyBorder="1" applyAlignment="1">
      <alignment vertical="center"/>
    </xf>
    <xf numFmtId="4" fontId="12" fillId="6" borderId="1" xfId="0" applyNumberFormat="1" applyFont="1" applyFill="1" applyBorder="1" applyAlignment="1">
      <alignment vertical="center" wrapText="1"/>
    </xf>
    <xf numFmtId="4" fontId="12" fillId="6" borderId="1" xfId="0" applyNumberFormat="1" applyFont="1" applyFill="1" applyBorder="1" applyAlignment="1">
      <alignment vertical="center"/>
    </xf>
    <xf numFmtId="0" fontId="14" fillId="3" borderId="1" xfId="0" applyFont="1" applyFill="1" applyBorder="1" applyAlignment="1">
      <alignment vertical="center"/>
    </xf>
    <xf numFmtId="4" fontId="12" fillId="3" borderId="1" xfId="0" applyNumberFormat="1" applyFont="1" applyFill="1" applyBorder="1" applyAlignment="1">
      <alignment vertical="center" wrapText="1"/>
    </xf>
    <xf numFmtId="4" fontId="12" fillId="3" borderId="1" xfId="0" applyNumberFormat="1" applyFont="1" applyFill="1" applyBorder="1" applyAlignment="1">
      <alignment vertical="center"/>
    </xf>
    <xf numFmtId="0" fontId="14" fillId="0" borderId="1" xfId="0" applyFont="1" applyBorder="1" applyAlignment="1">
      <alignment vertical="center"/>
    </xf>
    <xf numFmtId="0" fontId="14" fillId="0" borderId="1" xfId="0" applyFont="1" applyBorder="1"/>
    <xf numFmtId="0" fontId="12" fillId="0" borderId="1" xfId="0" applyFont="1" applyBorder="1" applyAlignment="1">
      <alignment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vertical="center"/>
    </xf>
    <xf numFmtId="0" fontId="12" fillId="0" borderId="1" xfId="0" applyFont="1" applyBorder="1"/>
    <xf numFmtId="0" fontId="14" fillId="4" borderId="1" xfId="0" applyFont="1" applyFill="1" applyBorder="1" applyAlignment="1">
      <alignment horizontal="right" wrapText="1"/>
    </xf>
    <xf numFmtId="4" fontId="12" fillId="4" borderId="1" xfId="0" applyNumberFormat="1" applyFont="1" applyFill="1" applyBorder="1" applyAlignment="1">
      <alignment vertical="center"/>
    </xf>
    <xf numFmtId="4" fontId="14" fillId="4" borderId="1" xfId="0" applyNumberFormat="1" applyFont="1" applyFill="1" applyBorder="1" applyAlignment="1">
      <alignment vertical="center" wrapText="1"/>
    </xf>
    <xf numFmtId="0" fontId="12" fillId="0" borderId="1" xfId="0" applyFont="1" applyBorder="1" applyAlignment="1">
      <alignment vertical="center"/>
    </xf>
    <xf numFmtId="3" fontId="14" fillId="3" borderId="1" xfId="458" applyNumberFormat="1" applyFont="1" applyFill="1" applyBorder="1" applyAlignment="1">
      <alignment horizontal="left" vertical="center"/>
    </xf>
    <xf numFmtId="49" fontId="14" fillId="3" borderId="1" xfId="458" applyNumberFormat="1" applyFont="1" applyFill="1" applyBorder="1" applyAlignment="1">
      <alignment horizontal="center" vertical="center" wrapText="1"/>
    </xf>
    <xf numFmtId="0" fontId="12" fillId="3" borderId="1" xfId="0" applyFont="1" applyFill="1" applyBorder="1" applyAlignment="1">
      <alignment vertical="center"/>
    </xf>
    <xf numFmtId="3" fontId="14" fillId="0" borderId="1" xfId="458" applyNumberFormat="1" applyFont="1" applyBorder="1" applyAlignment="1">
      <alignment horizontal="center" vertical="center"/>
    </xf>
    <xf numFmtId="3" fontId="14" fillId="0" borderId="1" xfId="458" applyNumberFormat="1" applyFont="1" applyBorder="1" applyAlignment="1">
      <alignment horizontal="center" vertical="center" wrapText="1"/>
    </xf>
    <xf numFmtId="3" fontId="14" fillId="0" borderId="1" xfId="458" applyNumberFormat="1" applyFont="1" applyBorder="1" applyAlignment="1">
      <alignment vertical="center" wrapText="1"/>
    </xf>
    <xf numFmtId="3" fontId="14" fillId="0" borderId="1" xfId="459" applyNumberFormat="1" applyFont="1" applyBorder="1" applyAlignment="1">
      <alignment vertical="center"/>
    </xf>
    <xf numFmtId="4" fontId="14" fillId="6" borderId="1" xfId="0" applyNumberFormat="1" applyFont="1" applyFill="1" applyBorder="1" applyAlignment="1">
      <alignment vertical="center"/>
    </xf>
    <xf numFmtId="0" fontId="12" fillId="0" borderId="1" xfId="458" applyFont="1" applyBorder="1" applyAlignment="1">
      <alignment horizontal="left" vertical="center" wrapText="1"/>
    </xf>
    <xf numFmtId="4" fontId="12" fillId="0" borderId="1" xfId="459" applyNumberFormat="1" applyFont="1" applyBorder="1" applyAlignment="1" applyProtection="1">
      <alignment vertical="center"/>
      <protection locked="0"/>
    </xf>
    <xf numFmtId="4" fontId="14" fillId="0" borderId="1" xfId="459" applyNumberFormat="1" applyFont="1" applyBorder="1" applyAlignment="1">
      <alignment vertical="center"/>
    </xf>
    <xf numFmtId="0" fontId="12" fillId="0" borderId="1" xfId="458" applyFont="1" applyBorder="1" applyAlignment="1">
      <alignment vertical="center" wrapText="1"/>
    </xf>
    <xf numFmtId="0" fontId="14" fillId="0" borderId="1" xfId="458" applyFont="1" applyBorder="1" applyAlignment="1">
      <alignment vertical="center"/>
    </xf>
    <xf numFmtId="0" fontId="12" fillId="0" borderId="1" xfId="458" applyFont="1" applyBorder="1" applyAlignment="1">
      <alignment vertical="center"/>
    </xf>
    <xf numFmtId="4" fontId="14" fillId="0" borderId="1" xfId="0" applyNumberFormat="1" applyFont="1" applyBorder="1" applyAlignment="1">
      <alignment vertical="center"/>
    </xf>
    <xf numFmtId="0" fontId="14" fillId="0" borderId="1" xfId="458" applyFont="1" applyBorder="1" applyAlignment="1">
      <alignment vertical="center" wrapText="1"/>
    </xf>
    <xf numFmtId="4" fontId="5" fillId="6" borderId="1" xfId="0" applyNumberFormat="1" applyFont="1" applyFill="1" applyBorder="1"/>
    <xf numFmtId="4" fontId="5" fillId="0" borderId="0" xfId="0" applyNumberFormat="1" applyFont="1" applyAlignment="1">
      <alignment vertical="center"/>
    </xf>
    <xf numFmtId="4" fontId="4" fillId="0" borderId="1" xfId="0" applyNumberFormat="1" applyFont="1" applyBorder="1"/>
    <xf numFmtId="4" fontId="4" fillId="6" borderId="1" xfId="0" applyNumberFormat="1" applyFont="1" applyFill="1" applyBorder="1"/>
    <xf numFmtId="165" fontId="4" fillId="6" borderId="1" xfId="0" applyNumberFormat="1" applyFont="1" applyFill="1" applyBorder="1" applyAlignment="1">
      <alignment horizontal="left" wrapText="1"/>
    </xf>
    <xf numFmtId="4" fontId="4"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center" vertical="center" wrapText="1"/>
    </xf>
    <xf numFmtId="3" fontId="5" fillId="6" borderId="1" xfId="0" applyNumberFormat="1" applyFont="1" applyFill="1" applyBorder="1" applyAlignment="1">
      <alignment horizontal="left" vertical="center" wrapText="1"/>
    </xf>
    <xf numFmtId="3" fontId="4" fillId="6" borderId="1" xfId="0" applyNumberFormat="1" applyFont="1" applyFill="1" applyBorder="1" applyAlignment="1">
      <alignment horizontal="left" vertical="center" wrapText="1"/>
    </xf>
    <xf numFmtId="0" fontId="5" fillId="7" borderId="1" xfId="0" applyFont="1" applyFill="1" applyBorder="1" applyAlignment="1">
      <alignment vertical="center"/>
    </xf>
    <xf numFmtId="4" fontId="4" fillId="7" borderId="1" xfId="0" applyNumberFormat="1" applyFont="1" applyFill="1" applyBorder="1" applyAlignment="1">
      <alignment vertical="center"/>
    </xf>
    <xf numFmtId="4" fontId="4" fillId="0" borderId="1" xfId="0" applyNumberFormat="1" applyFont="1" applyBorder="1" applyAlignment="1">
      <alignment wrapText="1"/>
    </xf>
    <xf numFmtId="4" fontId="15" fillId="0" borderId="1" xfId="0" applyNumberFormat="1" applyFont="1" applyBorder="1" applyAlignment="1">
      <alignment vertical="center"/>
    </xf>
    <xf numFmtId="0" fontId="0" fillId="0" borderId="1" xfId="0" applyBorder="1" applyAlignment="1">
      <alignment vertical="center" wrapText="1"/>
    </xf>
    <xf numFmtId="0" fontId="0" fillId="6" borderId="1" xfId="0" applyFill="1" applyBorder="1" applyAlignment="1">
      <alignment vertical="center" wrapText="1"/>
    </xf>
    <xf numFmtId="0" fontId="14" fillId="0" borderId="1" xfId="0" applyFont="1" applyBorder="1" applyAlignment="1">
      <alignment wrapText="1"/>
    </xf>
    <xf numFmtId="4" fontId="5" fillId="0" borderId="1" xfId="458" applyNumberFormat="1" applyFont="1" applyBorder="1" applyAlignment="1">
      <alignment vertical="center"/>
    </xf>
    <xf numFmtId="4" fontId="4" fillId="0" borderId="1" xfId="459" applyNumberFormat="1" applyFont="1" applyBorder="1" applyAlignment="1" applyProtection="1">
      <alignment vertical="center"/>
      <protection locked="0"/>
    </xf>
    <xf numFmtId="4" fontId="5" fillId="0" borderId="1" xfId="459" applyNumberFormat="1" applyFont="1" applyBorder="1" applyAlignment="1">
      <alignment vertical="center"/>
    </xf>
    <xf numFmtId="4" fontId="17" fillId="0" borderId="1" xfId="459" applyNumberFormat="1" applyFont="1" applyBorder="1" applyAlignment="1" applyProtection="1">
      <alignment vertical="center"/>
      <protection locked="0"/>
    </xf>
    <xf numFmtId="3" fontId="18" fillId="0" borderId="1" xfId="458" applyNumberFormat="1" applyFont="1" applyBorder="1" applyAlignment="1">
      <alignment vertical="center" wrapText="1"/>
    </xf>
    <xf numFmtId="4" fontId="18" fillId="0" borderId="1" xfId="459" applyNumberFormat="1" applyFont="1" applyBorder="1" applyAlignment="1">
      <alignment vertical="center"/>
    </xf>
    <xf numFmtId="0" fontId="19" fillId="0" borderId="1" xfId="0" applyFont="1" applyBorder="1" applyAlignment="1">
      <alignment vertical="center"/>
    </xf>
    <xf numFmtId="0" fontId="19" fillId="0" borderId="1" xfId="458" applyFont="1" applyBorder="1" applyAlignment="1">
      <alignment vertical="center"/>
    </xf>
    <xf numFmtId="4" fontId="17" fillId="0" borderId="1" xfId="459" applyNumberFormat="1" applyFont="1" applyBorder="1" applyAlignment="1">
      <alignment vertical="center"/>
    </xf>
    <xf numFmtId="0" fontId="18" fillId="0" borderId="1" xfId="458" applyFont="1" applyBorder="1" applyAlignment="1">
      <alignment vertical="center" wrapText="1"/>
    </xf>
    <xf numFmtId="0" fontId="19" fillId="0" borderId="1" xfId="458" applyFont="1" applyBorder="1" applyAlignment="1">
      <alignment vertical="center" wrapText="1"/>
    </xf>
    <xf numFmtId="4" fontId="18" fillId="0" borderId="1" xfId="0" applyNumberFormat="1" applyFont="1" applyBorder="1" applyAlignment="1">
      <alignment vertical="center"/>
    </xf>
    <xf numFmtId="4" fontId="20" fillId="0" borderId="1" xfId="0" applyNumberFormat="1" applyFont="1" applyBorder="1" applyAlignment="1">
      <alignment vertical="center"/>
    </xf>
    <xf numFmtId="4" fontId="11" fillId="6" borderId="1" xfId="0" applyNumberFormat="1" applyFont="1" applyFill="1" applyBorder="1" applyAlignment="1">
      <alignment vertical="center"/>
    </xf>
    <xf numFmtId="0" fontId="11" fillId="6" borderId="1" xfId="0" applyFont="1" applyFill="1" applyBorder="1" applyAlignment="1">
      <alignment horizontal="left" vertical="center" wrapText="1"/>
    </xf>
    <xf numFmtId="0" fontId="11" fillId="6" borderId="0" xfId="0" applyFont="1" applyFill="1"/>
    <xf numFmtId="4" fontId="10" fillId="6" borderId="1" xfId="0" applyNumberFormat="1" applyFont="1" applyFill="1" applyBorder="1" applyAlignment="1">
      <alignment vertical="center"/>
    </xf>
    <xf numFmtId="0" fontId="10" fillId="6" borderId="1" xfId="0" applyFont="1" applyFill="1" applyBorder="1" applyAlignment="1">
      <alignment horizontal="left" vertical="center" wrapText="1"/>
    </xf>
    <xf numFmtId="0" fontId="10" fillId="6" borderId="0" xfId="0" applyFont="1" applyFill="1"/>
    <xf numFmtId="1" fontId="11" fillId="6" borderId="1" xfId="0" applyNumberFormat="1" applyFont="1" applyFill="1" applyBorder="1" applyAlignment="1">
      <alignment vertical="center" wrapText="1"/>
    </xf>
    <xf numFmtId="0" fontId="11" fillId="6" borderId="1" xfId="0" applyFont="1" applyFill="1" applyBorder="1" applyAlignment="1">
      <alignment wrapText="1"/>
    </xf>
    <xf numFmtId="0" fontId="11" fillId="6" borderId="0" xfId="0" applyFont="1" applyFill="1" applyAlignment="1">
      <alignment vertical="center"/>
    </xf>
    <xf numFmtId="0" fontId="11" fillId="0" borderId="0" xfId="0" applyFont="1"/>
    <xf numFmtId="3" fontId="10" fillId="6" borderId="1" xfId="0" applyNumberFormat="1" applyFont="1" applyFill="1" applyBorder="1" applyAlignment="1">
      <alignment wrapText="1"/>
    </xf>
    <xf numFmtId="1" fontId="4" fillId="6" borderId="1" xfId="0" applyNumberFormat="1" applyFont="1" applyFill="1" applyBorder="1"/>
    <xf numFmtId="1" fontId="4" fillId="0" borderId="1" xfId="0" applyNumberFormat="1" applyFont="1" applyBorder="1" applyAlignment="1">
      <alignment vertical="center"/>
    </xf>
    <xf numFmtId="1" fontId="5" fillId="0" borderId="1" xfId="0" applyNumberFormat="1" applyFont="1" applyBorder="1" applyAlignment="1">
      <alignment vertical="center"/>
    </xf>
    <xf numFmtId="1" fontId="11" fillId="0" borderId="1" xfId="0" applyNumberFormat="1" applyFont="1" applyBorder="1" applyAlignment="1">
      <alignment vertical="center"/>
    </xf>
    <xf numFmtId="1" fontId="10" fillId="0" borderId="1" xfId="0" applyNumberFormat="1" applyFont="1" applyBorder="1" applyAlignment="1">
      <alignment vertical="center"/>
    </xf>
    <xf numFmtId="4" fontId="4" fillId="6" borderId="1" xfId="0" applyNumberFormat="1" applyFont="1" applyFill="1" applyBorder="1" applyAlignment="1">
      <alignment wrapText="1"/>
    </xf>
    <xf numFmtId="0" fontId="0" fillId="0" borderId="4" xfId="0" applyBorder="1"/>
    <xf numFmtId="1" fontId="5" fillId="0" borderId="4" xfId="0" applyNumberFormat="1" applyFont="1" applyBorder="1" applyAlignment="1">
      <alignment vertical="center"/>
    </xf>
    <xf numFmtId="4" fontId="4" fillId="6" borderId="4" xfId="0" applyNumberFormat="1" applyFont="1" applyFill="1" applyBorder="1" applyAlignment="1">
      <alignment vertical="center"/>
    </xf>
    <xf numFmtId="4" fontId="4" fillId="0" borderId="4" xfId="0" applyNumberFormat="1" applyFont="1" applyBorder="1" applyAlignment="1">
      <alignment vertical="center"/>
    </xf>
    <xf numFmtId="1" fontId="5" fillId="0" borderId="4" xfId="0" applyNumberFormat="1" applyFont="1" applyBorder="1"/>
    <xf numFmtId="4" fontId="4" fillId="0" borderId="4" xfId="0" applyNumberFormat="1" applyFont="1" applyBorder="1"/>
    <xf numFmtId="4" fontId="4" fillId="6" borderId="0" xfId="0" applyNumberFormat="1" applyFont="1" applyFill="1"/>
    <xf numFmtId="0" fontId="5" fillId="6" borderId="1" xfId="0" applyFont="1" applyFill="1" applyBorder="1" applyAlignment="1">
      <alignment horizontal="right" vertical="center"/>
    </xf>
    <xf numFmtId="0" fontId="5" fillId="8" borderId="1" xfId="0" applyFont="1" applyFill="1" applyBorder="1"/>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vertical="center" wrapText="1"/>
    </xf>
    <xf numFmtId="0" fontId="4" fillId="0" borderId="1" xfId="0" applyFont="1" applyBorder="1" applyAlignment="1">
      <alignment horizontal="left" vertical="top"/>
    </xf>
    <xf numFmtId="0" fontId="4" fillId="2" borderId="1" xfId="0" applyFont="1" applyFill="1" applyBorder="1" applyAlignment="1">
      <alignment horizontal="left" vertical="center" wrapText="1"/>
    </xf>
    <xf numFmtId="0" fontId="9" fillId="0" borderId="1" xfId="0" applyFont="1" applyBorder="1" applyAlignment="1">
      <alignment vertical="center" wrapText="1"/>
    </xf>
    <xf numFmtId="0" fontId="5" fillId="7" borderId="1" xfId="0" applyFont="1" applyFill="1" applyBorder="1" applyAlignment="1">
      <alignment horizontal="center"/>
    </xf>
    <xf numFmtId="0" fontId="15" fillId="7" borderId="1" xfId="0" applyFont="1" applyFill="1" applyBorder="1" applyAlignment="1">
      <alignment horizontal="center"/>
    </xf>
    <xf numFmtId="0" fontId="14" fillId="0" borderId="1" xfId="0" applyFont="1" applyBorder="1" applyAlignment="1">
      <alignment horizontal="center"/>
    </xf>
    <xf numFmtId="0" fontId="12" fillId="2" borderId="1" xfId="0" applyFont="1" applyFill="1" applyBorder="1" applyAlignment="1">
      <alignment horizontal="left" vertical="center" wrapText="1"/>
    </xf>
    <xf numFmtId="0" fontId="12" fillId="0" borderId="1" xfId="0" applyFont="1" applyBorder="1" applyAlignment="1">
      <alignment vertical="center"/>
    </xf>
    <xf numFmtId="0" fontId="4" fillId="6" borderId="1" xfId="460" applyFont="1" applyFill="1" applyBorder="1" applyAlignment="1">
      <alignment vertical="center" wrapText="1"/>
    </xf>
    <xf numFmtId="0" fontId="16" fillId="6" borderId="1" xfId="0" applyFont="1" applyFill="1" applyBorder="1" applyAlignment="1">
      <alignment wrapText="1"/>
    </xf>
    <xf numFmtId="0" fontId="4" fillId="6" borderId="1" xfId="0" applyFont="1" applyFill="1" applyBorder="1" applyAlignment="1">
      <alignment vertical="center" wrapText="1"/>
    </xf>
    <xf numFmtId="0" fontId="4" fillId="3" borderId="1" xfId="0" applyFont="1" applyFill="1" applyBorder="1" applyAlignment="1" applyProtection="1">
      <alignment vertical="top" wrapText="1"/>
      <protection locked="0"/>
    </xf>
    <xf numFmtId="0" fontId="5" fillId="6" borderId="1" xfId="0" applyFont="1" applyFill="1" applyBorder="1" applyAlignment="1">
      <alignment horizontal="left" vertical="center" wrapText="1"/>
    </xf>
    <xf numFmtId="0" fontId="4" fillId="7" borderId="1" xfId="0" applyFont="1" applyFill="1" applyBorder="1" applyAlignment="1">
      <alignment horizontal="left" vertical="center" wrapText="1"/>
    </xf>
    <xf numFmtId="0" fontId="0" fillId="7" borderId="1" xfId="0" applyFill="1" applyBorder="1" applyAlignment="1">
      <alignment vertical="center" wrapText="1"/>
    </xf>
    <xf numFmtId="0" fontId="5" fillId="2" borderId="1" xfId="0" applyFont="1" applyFill="1" applyBorder="1" applyAlignment="1">
      <alignment vertical="top" wrapText="1"/>
    </xf>
    <xf numFmtId="0" fontId="5" fillId="0" borderId="1" xfId="0" applyFont="1" applyBorder="1" applyAlignment="1">
      <alignment vertical="top" wrapText="1"/>
    </xf>
    <xf numFmtId="0" fontId="5" fillId="7" borderId="1" xfId="0" applyFont="1" applyFill="1" applyBorder="1" applyAlignment="1">
      <alignment vertical="center" wrapText="1"/>
    </xf>
    <xf numFmtId="0" fontId="4" fillId="2" borderId="1" xfId="0" applyFont="1" applyFill="1" applyBorder="1" applyAlignment="1">
      <alignment vertical="top" wrapText="1"/>
    </xf>
    <xf numFmtId="0" fontId="4" fillId="0" borderId="1" xfId="0" applyFont="1" applyBorder="1" applyAlignment="1">
      <alignment vertical="top" wrapText="1"/>
    </xf>
    <xf numFmtId="0" fontId="4" fillId="3" borderId="1" xfId="0" applyFont="1" applyFill="1" applyBorder="1" applyAlignment="1">
      <alignment horizontal="left" vertical="top"/>
    </xf>
    <xf numFmtId="0" fontId="14" fillId="3" borderId="1" xfId="0" applyFont="1" applyFill="1" applyBorder="1" applyAlignment="1">
      <alignment vertical="center"/>
    </xf>
    <xf numFmtId="0" fontId="5" fillId="0" borderId="1" xfId="0" applyFont="1" applyBorder="1" applyAlignment="1">
      <alignment vertical="center"/>
    </xf>
    <xf numFmtId="0" fontId="5" fillId="3"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12" fillId="3" borderId="1" xfId="0" applyFont="1" applyFill="1" applyBorder="1" applyAlignment="1">
      <alignment horizontal="center"/>
    </xf>
    <xf numFmtId="3" fontId="14"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14" fillId="6" borderId="1" xfId="0" applyFont="1" applyFill="1" applyBorder="1" applyAlignment="1">
      <alignment vertical="center"/>
    </xf>
    <xf numFmtId="0" fontId="9" fillId="0" borderId="1" xfId="0" applyFont="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1" xfId="0" applyFont="1" applyBorder="1" applyAlignment="1">
      <alignment vertical="top"/>
    </xf>
    <xf numFmtId="0" fontId="4" fillId="0" borderId="1" xfId="0" applyFont="1" applyBorder="1"/>
    <xf numFmtId="0" fontId="9"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0" fillId="0" borderId="1" xfId="0" applyBorder="1" applyAlignment="1">
      <alignment horizontal="left" vertical="center" wrapText="1"/>
    </xf>
    <xf numFmtId="0" fontId="5" fillId="0" borderId="1" xfId="0" applyFont="1" applyFill="1" applyBorder="1" applyAlignment="1">
      <alignment horizontal="righ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0" xfId="0" applyFont="1" applyFill="1"/>
    <xf numFmtId="0" fontId="4" fillId="0" borderId="1" xfId="0" applyFont="1" applyFill="1" applyBorder="1" applyAlignment="1">
      <alignment vertical="center"/>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4" fillId="0" borderId="0" xfId="0" applyFont="1" applyFill="1" applyAlignment="1">
      <alignment vertical="center"/>
    </xf>
    <xf numFmtId="0" fontId="4" fillId="0" borderId="3" xfId="0" applyFont="1" applyFill="1" applyBorder="1" applyAlignment="1">
      <alignment vertical="center"/>
    </xf>
    <xf numFmtId="0" fontId="4" fillId="0" borderId="3" xfId="0" applyFont="1" applyFill="1" applyBorder="1" applyAlignment="1">
      <alignment vertical="center" wrapText="1"/>
    </xf>
    <xf numFmtId="4" fontId="4" fillId="0" borderId="3" xfId="0" applyNumberFormat="1"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horizontal="right" vertical="center" wrapText="1"/>
    </xf>
    <xf numFmtId="0" fontId="4" fillId="0" borderId="2" xfId="0" applyFont="1" applyFill="1" applyBorder="1" applyAlignment="1">
      <alignment vertical="center" wrapText="1"/>
    </xf>
    <xf numFmtId="4" fontId="5" fillId="0" borderId="1" xfId="0" applyNumberFormat="1" applyFont="1" applyFill="1" applyBorder="1" applyAlignment="1">
      <alignment horizontal="right" vertical="center" wrapText="1"/>
    </xf>
  </cellXfs>
  <cellStyles count="954">
    <cellStyle name="Bad" xfId="460" builtinId="27"/>
    <cellStyle name="Comma" xfId="45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Normal" xfId="0" builtinId="0"/>
    <cellStyle name="Normal_1" xfId="459" xr:uid="{00000000-0005-0000-0000-0000B8030000}"/>
    <cellStyle name="Normal_UNOS08ust" xfId="458" xr:uid="{00000000-0005-0000-0000-0000B9030000}"/>
  </cellStyles>
  <dxfs count="0"/>
  <tableStyles count="0" defaultTableStyle="TableStyleMedium9" defaultPivotStyle="PivotStyleMedium4"/>
  <colors>
    <mruColors>
      <color rgb="FFFF00FF"/>
      <color rgb="FFFF33CC"/>
      <color rgb="FF00FF00"/>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74"/>
  <sheetViews>
    <sheetView tabSelected="1" zoomScale="85" zoomScaleNormal="85" zoomScaleSheetLayoutView="80" zoomScalePageLayoutView="85" workbookViewId="0">
      <selection activeCell="G270" sqref="G270"/>
    </sheetView>
  </sheetViews>
  <sheetFormatPr baseColWidth="10" defaultColWidth="8.6640625" defaultRowHeight="16" x14ac:dyDescent="0.2"/>
  <cols>
    <col min="1" max="1" width="5.6640625" style="94" customWidth="1"/>
    <col min="2" max="2" width="90.33203125" style="7" customWidth="1"/>
    <col min="3" max="3" width="41.1640625" style="13" customWidth="1"/>
    <col min="4" max="4" width="17.6640625" style="151" customWidth="1"/>
    <col min="5" max="5" width="17.6640625" style="74" customWidth="1"/>
    <col min="6" max="6" width="9.1640625" style="1" bestFit="1" customWidth="1"/>
    <col min="7" max="16384" width="8.6640625" style="1"/>
  </cols>
  <sheetData>
    <row r="1" spans="1:5" x14ac:dyDescent="0.2">
      <c r="A1" s="148"/>
      <c r="B1" s="202" t="s">
        <v>91</v>
      </c>
      <c r="C1" s="202"/>
      <c r="D1" s="203"/>
      <c r="E1" s="149"/>
    </row>
    <row r="2" spans="1:5" x14ac:dyDescent="0.2">
      <c r="B2" s="204" t="s">
        <v>257</v>
      </c>
      <c r="C2" s="204"/>
      <c r="D2" s="204"/>
    </row>
    <row r="3" spans="1:5" x14ac:dyDescent="0.2">
      <c r="B3" s="5" t="s">
        <v>258</v>
      </c>
      <c r="C3" s="6"/>
      <c r="D3" s="74"/>
    </row>
    <row r="4" spans="1:5" x14ac:dyDescent="0.2">
      <c r="C4" s="8" t="s">
        <v>103</v>
      </c>
      <c r="D4" s="75" t="s">
        <v>142</v>
      </c>
      <c r="E4" s="72"/>
    </row>
    <row r="5" spans="1:5" x14ac:dyDescent="0.2">
      <c r="B5" s="9" t="s">
        <v>85</v>
      </c>
      <c r="C5" s="10">
        <f>SUM(E37)</f>
        <v>1026000000</v>
      </c>
      <c r="D5" s="76">
        <f>+C5/C13</f>
        <v>0.83662492783498432</v>
      </c>
      <c r="E5" s="72"/>
    </row>
    <row r="6" spans="1:5" x14ac:dyDescent="0.2">
      <c r="B6" s="9" t="s">
        <v>90</v>
      </c>
      <c r="C6" s="10">
        <f>SUM(E216)</f>
        <v>72957400</v>
      </c>
      <c r="D6" s="76">
        <f>+C6/C13</f>
        <v>5.9491208099442576E-2</v>
      </c>
    </row>
    <row r="7" spans="1:5" x14ac:dyDescent="0.2">
      <c r="B7" s="9" t="s">
        <v>164</v>
      </c>
      <c r="C7" s="10">
        <f>E304</f>
        <v>34820000</v>
      </c>
      <c r="D7" s="76">
        <f>+C7/C13</f>
        <v>2.8393060416388064E-2</v>
      </c>
    </row>
    <row r="8" spans="1:5" x14ac:dyDescent="0.2">
      <c r="B8" s="9" t="s">
        <v>86</v>
      </c>
      <c r="C8" s="10">
        <f>SUM(E471)</f>
        <v>13866600</v>
      </c>
      <c r="D8" s="76">
        <f>+C8/C13</f>
        <v>1.130715713871013E-2</v>
      </c>
    </row>
    <row r="9" spans="1:5" x14ac:dyDescent="0.2">
      <c r="B9" s="9" t="s">
        <v>425</v>
      </c>
      <c r="C9" s="10">
        <f>+C535</f>
        <v>3582000</v>
      </c>
      <c r="D9" s="76">
        <f>+C9/C13</f>
        <v>2.9208484322659979E-3</v>
      </c>
    </row>
    <row r="10" spans="1:5" x14ac:dyDescent="0.2">
      <c r="B10" s="9" t="s">
        <v>87</v>
      </c>
      <c r="C10" s="10">
        <f>C528</f>
        <v>59330000</v>
      </c>
      <c r="D10" s="76">
        <f>+C10/C13</f>
        <v>4.8379100359112685E-2</v>
      </c>
    </row>
    <row r="11" spans="1:5" x14ac:dyDescent="0.2">
      <c r="B11" s="9" t="s">
        <v>88</v>
      </c>
      <c r="C11" s="10">
        <f>E528</f>
        <v>15800000</v>
      </c>
      <c r="D11" s="76">
        <f>+C11/C13</f>
        <v>1.2883697719096249E-2</v>
      </c>
    </row>
    <row r="12" spans="1:5" x14ac:dyDescent="0.2">
      <c r="A12" s="19"/>
      <c r="B12" s="11"/>
      <c r="C12" s="12"/>
      <c r="D12" s="77"/>
      <c r="E12" s="77"/>
    </row>
    <row r="13" spans="1:5" x14ac:dyDescent="0.2">
      <c r="B13" s="17" t="s">
        <v>102</v>
      </c>
      <c r="C13" s="10">
        <f>SUM(C5:C11)</f>
        <v>1226356000</v>
      </c>
      <c r="D13" s="78">
        <f>SUM(D5:D11)</f>
        <v>1</v>
      </c>
      <c r="E13" s="79"/>
    </row>
    <row r="14" spans="1:5" ht="19.25" customHeight="1" x14ac:dyDescent="0.2">
      <c r="A14" s="94">
        <v>1</v>
      </c>
      <c r="B14" s="5" t="s">
        <v>259</v>
      </c>
      <c r="C14" s="184"/>
      <c r="D14" s="74"/>
    </row>
    <row r="15" spans="1:5" s="58" customFormat="1" ht="80" customHeight="1" x14ac:dyDescent="0.2">
      <c r="A15" s="106"/>
      <c r="B15" s="205" t="s">
        <v>331</v>
      </c>
      <c r="C15" s="206"/>
      <c r="D15" s="206"/>
      <c r="E15" s="206"/>
    </row>
    <row r="16" spans="1:5" x14ac:dyDescent="0.2">
      <c r="A16" s="47"/>
      <c r="B16" s="47" t="s">
        <v>29</v>
      </c>
      <c r="C16" s="46"/>
      <c r="D16" s="48">
        <v>300000000</v>
      </c>
      <c r="E16" s="59"/>
    </row>
    <row r="17" spans="1:5" x14ac:dyDescent="0.2">
      <c r="A17" s="47"/>
      <c r="B17" s="47" t="s">
        <v>426</v>
      </c>
      <c r="C17" s="46"/>
      <c r="D17" s="44">
        <f>60000000+35000000+6000000+3000000</f>
        <v>104000000</v>
      </c>
      <c r="E17" s="59"/>
    </row>
    <row r="18" spans="1:5" s="177" customFormat="1" x14ac:dyDescent="0.2">
      <c r="A18" s="47"/>
      <c r="B18" s="47" t="s">
        <v>427</v>
      </c>
      <c r="C18" s="175"/>
      <c r="D18" s="44">
        <v>70000000</v>
      </c>
      <c r="E18" s="168"/>
    </row>
    <row r="19" spans="1:5" s="177" customFormat="1" x14ac:dyDescent="0.2">
      <c r="A19" s="47"/>
      <c r="B19" s="47" t="s">
        <v>345</v>
      </c>
      <c r="C19" s="175"/>
      <c r="D19" s="44">
        <v>60000000</v>
      </c>
      <c r="E19" s="168"/>
    </row>
    <row r="20" spans="1:5" x14ac:dyDescent="0.2">
      <c r="A20" s="47"/>
      <c r="B20" s="47" t="s">
        <v>30</v>
      </c>
      <c r="C20" s="46"/>
      <c r="D20" s="44">
        <v>60000000</v>
      </c>
      <c r="E20" s="59"/>
    </row>
    <row r="21" spans="1:5" x14ac:dyDescent="0.2">
      <c r="A21" s="47"/>
      <c r="B21" s="47" t="s">
        <v>31</v>
      </c>
      <c r="C21" s="46"/>
      <c r="D21" s="44">
        <v>60000000</v>
      </c>
      <c r="E21" s="59"/>
    </row>
    <row r="22" spans="1:5" x14ac:dyDescent="0.2">
      <c r="A22" s="47"/>
      <c r="B22" s="47" t="s">
        <v>97</v>
      </c>
      <c r="C22" s="43"/>
      <c r="D22" s="44">
        <v>60000000</v>
      </c>
      <c r="E22" s="59"/>
    </row>
    <row r="23" spans="1:5" ht="17" x14ac:dyDescent="0.2">
      <c r="A23" s="47"/>
      <c r="B23" s="28" t="s">
        <v>32</v>
      </c>
      <c r="C23" s="43"/>
      <c r="D23" s="48">
        <v>10000000</v>
      </c>
      <c r="E23" s="59"/>
    </row>
    <row r="24" spans="1:5" ht="17" x14ac:dyDescent="0.2">
      <c r="A24" s="47"/>
      <c r="B24" s="28" t="s">
        <v>488</v>
      </c>
      <c r="C24" s="43"/>
      <c r="D24" s="48">
        <f>60000000+6000000</f>
        <v>66000000</v>
      </c>
      <c r="E24" s="59"/>
    </row>
    <row r="25" spans="1:5" x14ac:dyDescent="0.2">
      <c r="A25" s="47"/>
      <c r="B25" s="47" t="s">
        <v>133</v>
      </c>
      <c r="C25" s="43"/>
      <c r="D25" s="44">
        <v>16000000</v>
      </c>
      <c r="E25" s="59"/>
    </row>
    <row r="26" spans="1:5" x14ac:dyDescent="0.2">
      <c r="A26" s="47"/>
      <c r="B26" s="47" t="s">
        <v>98</v>
      </c>
      <c r="C26" s="43"/>
      <c r="D26" s="44">
        <v>12000000</v>
      </c>
      <c r="E26" s="59"/>
    </row>
    <row r="27" spans="1:5" x14ac:dyDescent="0.2">
      <c r="A27" s="47"/>
      <c r="B27" s="47" t="s">
        <v>99</v>
      </c>
      <c r="C27" s="43"/>
      <c r="D27" s="44">
        <v>12000000</v>
      </c>
      <c r="E27" s="59"/>
    </row>
    <row r="28" spans="1:5" x14ac:dyDescent="0.2">
      <c r="A28" s="47"/>
      <c r="B28" s="47" t="s">
        <v>100</v>
      </c>
      <c r="C28" s="43"/>
      <c r="D28" s="44">
        <v>12000000</v>
      </c>
      <c r="E28" s="59"/>
    </row>
    <row r="29" spans="1:5" x14ac:dyDescent="0.2">
      <c r="A29" s="47"/>
      <c r="B29" s="47" t="s">
        <v>119</v>
      </c>
      <c r="C29" s="43"/>
      <c r="D29" s="48">
        <v>8000000</v>
      </c>
      <c r="E29" s="59"/>
    </row>
    <row r="30" spans="1:5" ht="21.75" customHeight="1" x14ac:dyDescent="0.2">
      <c r="A30" s="47"/>
      <c r="B30" s="209" t="s">
        <v>129</v>
      </c>
      <c r="C30" s="208"/>
      <c r="D30" s="44">
        <v>18000000</v>
      </c>
      <c r="E30" s="59"/>
    </row>
    <row r="31" spans="1:5" s="177" customFormat="1" x14ac:dyDescent="0.2">
      <c r="A31" s="47"/>
      <c r="B31" s="47" t="s">
        <v>33</v>
      </c>
      <c r="C31" s="178"/>
      <c r="D31" s="44">
        <v>40000000</v>
      </c>
      <c r="E31" s="171"/>
    </row>
    <row r="32" spans="1:5" x14ac:dyDescent="0.2">
      <c r="A32" s="47"/>
      <c r="B32" s="47" t="s">
        <v>392</v>
      </c>
      <c r="C32" s="43"/>
      <c r="D32" s="44">
        <v>80000000</v>
      </c>
      <c r="E32" s="59"/>
    </row>
    <row r="33" spans="1:5" x14ac:dyDescent="0.2">
      <c r="A33" s="47"/>
      <c r="B33" s="49" t="s">
        <v>95</v>
      </c>
      <c r="C33" s="43"/>
      <c r="D33" s="48">
        <v>8000000</v>
      </c>
      <c r="E33" s="59"/>
    </row>
    <row r="34" spans="1:5" ht="33.5" customHeight="1" x14ac:dyDescent="0.2">
      <c r="A34" s="47"/>
      <c r="B34" s="207" t="s">
        <v>94</v>
      </c>
      <c r="C34" s="208"/>
      <c r="D34" s="44">
        <v>18000000</v>
      </c>
      <c r="E34" s="59"/>
    </row>
    <row r="35" spans="1:5" ht="24.5" customHeight="1" x14ac:dyDescent="0.2">
      <c r="A35" s="47"/>
      <c r="B35" s="50" t="s">
        <v>252</v>
      </c>
      <c r="C35" s="43"/>
      <c r="D35" s="44">
        <v>12000000</v>
      </c>
      <c r="E35" s="59"/>
    </row>
    <row r="36" spans="1:5" x14ac:dyDescent="0.2">
      <c r="A36" s="19"/>
      <c r="B36" s="19"/>
      <c r="C36" s="20"/>
      <c r="D36" s="21"/>
      <c r="E36" s="22"/>
    </row>
    <row r="37" spans="1:5" ht="17" x14ac:dyDescent="0.2">
      <c r="C37" s="23" t="s">
        <v>89</v>
      </c>
      <c r="D37" s="80"/>
      <c r="E37" s="81">
        <f>SUM(D16:D35)</f>
        <v>1026000000</v>
      </c>
    </row>
    <row r="38" spans="1:5" ht="17" x14ac:dyDescent="0.2">
      <c r="A38" s="94">
        <v>2</v>
      </c>
      <c r="B38" s="24" t="s">
        <v>162</v>
      </c>
      <c r="D38" s="29"/>
      <c r="E38" s="29"/>
    </row>
    <row r="39" spans="1:5" x14ac:dyDescent="0.2">
      <c r="B39" s="24"/>
      <c r="D39" s="29"/>
      <c r="E39" s="29"/>
    </row>
    <row r="40" spans="1:5" ht="17" x14ac:dyDescent="0.2">
      <c r="A40" s="94" t="s">
        <v>170</v>
      </c>
      <c r="B40" s="42" t="s">
        <v>1</v>
      </c>
      <c r="D40" s="29"/>
      <c r="E40" s="29"/>
    </row>
    <row r="41" spans="1:5" ht="33" customHeight="1" x14ac:dyDescent="0.2">
      <c r="A41" s="19"/>
      <c r="B41" s="210" t="s">
        <v>146</v>
      </c>
      <c r="C41" s="210"/>
      <c r="D41" s="210"/>
      <c r="E41" s="210"/>
    </row>
    <row r="42" spans="1:5" ht="19.25" customHeight="1" x14ac:dyDescent="0.2">
      <c r="A42" s="92"/>
      <c r="B42" s="28" t="s">
        <v>19</v>
      </c>
      <c r="C42" s="46"/>
      <c r="D42" s="44">
        <f>110000+12000</f>
        <v>122000</v>
      </c>
      <c r="E42" s="45"/>
    </row>
    <row r="43" spans="1:5" ht="17" x14ac:dyDescent="0.2">
      <c r="B43" s="25" t="s">
        <v>0</v>
      </c>
      <c r="D43" s="29"/>
      <c r="E43" s="18">
        <f>SUM(D42)</f>
        <v>122000</v>
      </c>
    </row>
    <row r="44" spans="1:5" x14ac:dyDescent="0.2">
      <c r="A44" s="19"/>
      <c r="B44" s="19"/>
      <c r="C44" s="20"/>
      <c r="D44" s="26"/>
      <c r="E44" s="22"/>
    </row>
    <row r="45" spans="1:5" x14ac:dyDescent="0.2">
      <c r="A45" s="94" t="s">
        <v>171</v>
      </c>
      <c r="B45" s="198" t="s">
        <v>120</v>
      </c>
      <c r="C45" s="198"/>
      <c r="D45" s="29"/>
      <c r="E45" s="29"/>
    </row>
    <row r="46" spans="1:5" ht="251" customHeight="1" x14ac:dyDescent="0.2">
      <c r="A46" s="19"/>
      <c r="B46" s="194" t="s">
        <v>149</v>
      </c>
      <c r="C46" s="194"/>
      <c r="D46" s="194"/>
      <c r="E46" s="194"/>
    </row>
    <row r="47" spans="1:5" s="3" customFormat="1" ht="17" x14ac:dyDescent="0.2">
      <c r="A47" s="47"/>
      <c r="B47" s="28" t="s">
        <v>14</v>
      </c>
      <c r="C47" s="46"/>
      <c r="D47" s="44">
        <f>5000000+181400+450000+50000+60000+30000+210000</f>
        <v>5981400</v>
      </c>
      <c r="E47" s="56"/>
    </row>
    <row r="48" spans="1:5" s="3" customFormat="1" ht="17" x14ac:dyDescent="0.2">
      <c r="A48" s="47"/>
      <c r="B48" s="28" t="s">
        <v>16</v>
      </c>
      <c r="C48" s="46"/>
      <c r="D48" s="44">
        <f>3222000+500000+106000+64000-79200+156800-368000-2000</f>
        <v>3599600</v>
      </c>
      <c r="E48" s="56"/>
    </row>
    <row r="49" spans="1:5" s="3" customFormat="1" ht="17" x14ac:dyDescent="0.2">
      <c r="A49" s="47"/>
      <c r="B49" s="28" t="s">
        <v>15</v>
      </c>
      <c r="C49" s="46"/>
      <c r="D49" s="44">
        <f>500000+9400-60000</f>
        <v>449400</v>
      </c>
      <c r="E49" s="45"/>
    </row>
    <row r="50" spans="1:5" s="3" customFormat="1" ht="17" x14ac:dyDescent="0.2">
      <c r="A50" s="47"/>
      <c r="B50" s="28" t="s">
        <v>114</v>
      </c>
      <c r="C50" s="46"/>
      <c r="D50" s="44">
        <f>5000000+175000-720000-360000+5000000-1310000-1000000-600000-360000+1000000+1000000+920000</f>
        <v>8745000</v>
      </c>
      <c r="E50" s="45"/>
    </row>
    <row r="51" spans="1:5" s="3" customFormat="1" ht="17" x14ac:dyDescent="0.2">
      <c r="A51" s="47"/>
      <c r="B51" s="28" t="s">
        <v>20</v>
      </c>
      <c r="C51" s="43"/>
      <c r="D51" s="44">
        <v>200000</v>
      </c>
      <c r="E51" s="45"/>
    </row>
    <row r="52" spans="1:5" s="3" customFormat="1" ht="17" x14ac:dyDescent="0.2">
      <c r="A52" s="47"/>
      <c r="B52" s="28" t="s">
        <v>17</v>
      </c>
      <c r="C52" s="28"/>
      <c r="D52" s="44">
        <f>400000+12000+14400+61000</f>
        <v>487400</v>
      </c>
      <c r="E52" s="56"/>
    </row>
    <row r="53" spans="1:5" s="3" customFormat="1" ht="17" x14ac:dyDescent="0.2">
      <c r="A53" s="47"/>
      <c r="B53" s="28" t="s">
        <v>63</v>
      </c>
      <c r="C53" s="46"/>
      <c r="D53" s="59">
        <f>6400*10*8+310000</f>
        <v>822000</v>
      </c>
      <c r="E53" s="56"/>
    </row>
    <row r="54" spans="1:5" s="3" customFormat="1" ht="17" x14ac:dyDescent="0.2">
      <c r="A54" s="47"/>
      <c r="B54" s="28" t="s">
        <v>113</v>
      </c>
      <c r="C54" s="28"/>
      <c r="D54" s="44">
        <v>12000</v>
      </c>
      <c r="E54" s="56"/>
    </row>
    <row r="55" spans="1:5" s="3" customFormat="1" ht="17" x14ac:dyDescent="0.2">
      <c r="A55" s="47"/>
      <c r="B55" s="28" t="s">
        <v>70</v>
      </c>
      <c r="C55" s="28"/>
      <c r="D55" s="44">
        <v>108000</v>
      </c>
      <c r="E55" s="56"/>
    </row>
    <row r="56" spans="1:5" s="3" customFormat="1" ht="17" x14ac:dyDescent="0.2">
      <c r="A56" s="47"/>
      <c r="B56" s="28" t="s">
        <v>471</v>
      </c>
      <c r="C56" s="46"/>
      <c r="D56" s="59">
        <f>950000+909000+120000</f>
        <v>1979000</v>
      </c>
      <c r="E56" s="56"/>
    </row>
    <row r="57" spans="1:5" s="3" customFormat="1" ht="17" x14ac:dyDescent="0.2">
      <c r="A57" s="47"/>
      <c r="B57" s="85" t="s">
        <v>253</v>
      </c>
      <c r="C57" s="46"/>
      <c r="D57" s="59">
        <v>252000</v>
      </c>
      <c r="E57" s="56"/>
    </row>
    <row r="58" spans="1:5" s="3" customFormat="1" ht="17" x14ac:dyDescent="0.2">
      <c r="A58" s="47"/>
      <c r="B58" s="28" t="s">
        <v>472</v>
      </c>
      <c r="C58" s="28"/>
      <c r="D58" s="44">
        <v>1000000</v>
      </c>
      <c r="E58" s="56"/>
    </row>
    <row r="59" spans="1:5" ht="17" x14ac:dyDescent="0.2">
      <c r="A59" s="92"/>
      <c r="B59" s="51" t="s">
        <v>0</v>
      </c>
      <c r="C59" s="46"/>
      <c r="D59" s="45"/>
      <c r="E59" s="54">
        <f>SUM(D47:D58)</f>
        <v>23635800</v>
      </c>
    </row>
    <row r="60" spans="1:5" x14ac:dyDescent="0.2">
      <c r="A60" s="19"/>
      <c r="B60" s="19"/>
      <c r="C60" s="20"/>
      <c r="D60" s="26"/>
      <c r="E60" s="22"/>
    </row>
    <row r="61" spans="1:5" ht="17" x14ac:dyDescent="0.2">
      <c r="A61" s="94" t="s">
        <v>172</v>
      </c>
      <c r="B61" s="42" t="s">
        <v>128</v>
      </c>
      <c r="D61" s="29"/>
      <c r="E61" s="29"/>
    </row>
    <row r="62" spans="1:5" ht="22.25" customHeight="1" x14ac:dyDescent="0.2">
      <c r="A62" s="19"/>
      <c r="B62" s="214" t="s">
        <v>360</v>
      </c>
      <c r="C62" s="214"/>
      <c r="D62" s="214"/>
      <c r="E62" s="215"/>
    </row>
    <row r="63" spans="1:5" s="3" customFormat="1" ht="17" x14ac:dyDescent="0.2">
      <c r="A63" s="92"/>
      <c r="B63" s="98" t="s">
        <v>428</v>
      </c>
      <c r="C63" s="100"/>
      <c r="D63" s="102"/>
      <c r="E63" s="87"/>
    </row>
    <row r="64" spans="1:5" ht="50" customHeight="1" x14ac:dyDescent="0.2">
      <c r="A64" s="28"/>
      <c r="B64" s="212" t="s">
        <v>358</v>
      </c>
      <c r="C64" s="213"/>
      <c r="D64" s="213"/>
      <c r="E64" s="152"/>
    </row>
    <row r="65" spans="1:5" ht="17.75" customHeight="1" x14ac:dyDescent="0.2">
      <c r="A65" s="28"/>
      <c r="B65" s="67"/>
      <c r="C65" s="153"/>
      <c r="D65" s="52">
        <f>SUM(D66:D70)</f>
        <v>3986000</v>
      </c>
      <c r="E65" s="152"/>
    </row>
    <row r="66" spans="1:5" s="3" customFormat="1" ht="18" customHeight="1" x14ac:dyDescent="0.2">
      <c r="A66" s="47"/>
      <c r="B66" s="28" t="s">
        <v>473</v>
      </c>
      <c r="C66" s="28" t="s">
        <v>474</v>
      </c>
      <c r="D66" s="44">
        <f>25000*2*2</f>
        <v>100000</v>
      </c>
      <c r="E66" s="45"/>
    </row>
    <row r="67" spans="1:5" s="3" customFormat="1" ht="21.5" customHeight="1" x14ac:dyDescent="0.2">
      <c r="A67" s="47"/>
      <c r="B67" s="28" t="s">
        <v>359</v>
      </c>
      <c r="C67" s="28" t="s">
        <v>353</v>
      </c>
      <c r="D67" s="44">
        <f>100*2*3*120*2</f>
        <v>144000</v>
      </c>
      <c r="E67" s="45"/>
    </row>
    <row r="68" spans="1:5" s="3" customFormat="1" ht="17" x14ac:dyDescent="0.2">
      <c r="A68" s="47"/>
      <c r="B68" s="28" t="s">
        <v>8</v>
      </c>
      <c r="C68" s="28" t="s">
        <v>352</v>
      </c>
      <c r="D68" s="44">
        <v>22000</v>
      </c>
      <c r="E68" s="45"/>
    </row>
    <row r="69" spans="1:5" s="3" customFormat="1" ht="17" x14ac:dyDescent="0.2">
      <c r="A69" s="47"/>
      <c r="B69" s="28" t="s">
        <v>70</v>
      </c>
      <c r="C69" s="28" t="s">
        <v>215</v>
      </c>
      <c r="D69" s="44">
        <f>1000*120</f>
        <v>120000</v>
      </c>
      <c r="E69" s="45"/>
    </row>
    <row r="70" spans="1:5" s="3" customFormat="1" ht="17" x14ac:dyDescent="0.2">
      <c r="A70" s="47"/>
      <c r="B70" s="69" t="s">
        <v>351</v>
      </c>
      <c r="C70" s="68" t="s">
        <v>511</v>
      </c>
      <c r="D70" s="45">
        <f>3*10000*120</f>
        <v>3600000</v>
      </c>
      <c r="E70" s="45"/>
    </row>
    <row r="71" spans="1:5" s="3" customFormat="1" x14ac:dyDescent="0.2">
      <c r="A71" s="47"/>
      <c r="B71" s="69"/>
      <c r="C71" s="68"/>
      <c r="D71" s="45"/>
      <c r="E71" s="45"/>
    </row>
    <row r="72" spans="1:5" s="3" customFormat="1" ht="15" customHeight="1" x14ac:dyDescent="0.2">
      <c r="A72" s="92"/>
      <c r="B72" s="98" t="s">
        <v>459</v>
      </c>
      <c r="C72" s="99"/>
      <c r="D72" s="101"/>
      <c r="E72" s="45"/>
    </row>
    <row r="73" spans="1:5" ht="81.5" customHeight="1" x14ac:dyDescent="0.2">
      <c r="A73" s="28"/>
      <c r="B73" s="212" t="s">
        <v>445</v>
      </c>
      <c r="C73" s="213"/>
      <c r="D73" s="213"/>
      <c r="E73" s="97"/>
    </row>
    <row r="74" spans="1:5" s="3" customFormat="1" ht="17" x14ac:dyDescent="0.2">
      <c r="A74" s="47"/>
      <c r="B74" s="69" t="s">
        <v>261</v>
      </c>
      <c r="C74" s="68" t="s">
        <v>481</v>
      </c>
      <c r="D74" s="45">
        <f>5000*120</f>
        <v>600000</v>
      </c>
      <c r="E74" s="45"/>
    </row>
    <row r="75" spans="1:5" x14ac:dyDescent="0.2">
      <c r="A75" s="92"/>
      <c r="B75" s="216" t="s">
        <v>443</v>
      </c>
      <c r="C75" s="216"/>
      <c r="D75" s="101"/>
      <c r="E75" s="45"/>
    </row>
    <row r="76" spans="1:5" s="3" customFormat="1" ht="17" x14ac:dyDescent="0.2">
      <c r="A76" s="47"/>
      <c r="B76" s="28" t="s">
        <v>2</v>
      </c>
      <c r="C76" s="89"/>
      <c r="D76" s="44">
        <v>300000</v>
      </c>
      <c r="E76" s="56"/>
    </row>
    <row r="77" spans="1:5" s="3" customFormat="1" ht="17" x14ac:dyDescent="0.2">
      <c r="A77" s="92"/>
      <c r="B77" s="28" t="s">
        <v>447</v>
      </c>
      <c r="C77" s="28" t="s">
        <v>512</v>
      </c>
      <c r="D77" s="44">
        <v>1000000</v>
      </c>
      <c r="E77" s="56"/>
    </row>
    <row r="78" spans="1:5" s="3" customFormat="1" x14ac:dyDescent="0.2">
      <c r="A78" s="92"/>
      <c r="B78" s="216" t="s">
        <v>444</v>
      </c>
      <c r="C78" s="216"/>
      <c r="D78" s="103"/>
      <c r="E78" s="45"/>
    </row>
    <row r="79" spans="1:5" s="3" customFormat="1" ht="17" x14ac:dyDescent="0.2">
      <c r="A79" s="47"/>
      <c r="B79" s="28" t="s">
        <v>337</v>
      </c>
      <c r="C79" s="28" t="s">
        <v>340</v>
      </c>
      <c r="D79" s="45">
        <f>40000*3</f>
        <v>120000</v>
      </c>
      <c r="E79" s="56"/>
    </row>
    <row r="80" spans="1:5" s="3" customFormat="1" ht="17" x14ac:dyDescent="0.2">
      <c r="A80" s="47"/>
      <c r="B80" s="28" t="s">
        <v>17</v>
      </c>
      <c r="C80" s="28" t="s">
        <v>229</v>
      </c>
      <c r="D80" s="45">
        <f>7000*3</f>
        <v>21000</v>
      </c>
      <c r="E80" s="56"/>
    </row>
    <row r="81" spans="1:5" ht="17" customHeight="1" x14ac:dyDescent="0.2">
      <c r="B81" s="25" t="s">
        <v>0</v>
      </c>
      <c r="D81" s="29"/>
      <c r="E81" s="18">
        <f>D65+D74+D76+D79+D80+D77</f>
        <v>6027000</v>
      </c>
    </row>
    <row r="82" spans="1:5" x14ac:dyDescent="0.2">
      <c r="A82" s="95"/>
      <c r="B82" s="19"/>
      <c r="C82" s="20"/>
      <c r="D82" s="26"/>
      <c r="E82" s="22"/>
    </row>
    <row r="83" spans="1:5" ht="17" customHeight="1" x14ac:dyDescent="0.2">
      <c r="A83" s="94" t="s">
        <v>173</v>
      </c>
      <c r="B83" s="42" t="s">
        <v>152</v>
      </c>
      <c r="D83" s="29"/>
      <c r="E83" s="29"/>
    </row>
    <row r="84" spans="1:5" ht="48" customHeight="1" x14ac:dyDescent="0.2">
      <c r="A84" s="57"/>
      <c r="B84" s="195" t="s">
        <v>156</v>
      </c>
      <c r="C84" s="195"/>
      <c r="D84" s="195"/>
      <c r="E84" s="195"/>
    </row>
    <row r="85" spans="1:5" s="3" customFormat="1" ht="17" customHeight="1" x14ac:dyDescent="0.2">
      <c r="A85" s="92"/>
      <c r="B85" s="62" t="s">
        <v>231</v>
      </c>
      <c r="C85" s="28"/>
      <c r="D85" s="54">
        <f>D86+D87</f>
        <v>342000</v>
      </c>
      <c r="E85" s="45"/>
    </row>
    <row r="86" spans="1:5" s="3" customFormat="1" ht="17" customHeight="1" x14ac:dyDescent="0.2">
      <c r="A86" s="47"/>
      <c r="B86" s="28" t="s">
        <v>336</v>
      </c>
      <c r="C86" s="28" t="s">
        <v>338</v>
      </c>
      <c r="D86" s="44">
        <f>60000*3</f>
        <v>180000</v>
      </c>
      <c r="E86" s="56"/>
    </row>
    <row r="87" spans="1:5" s="3" customFormat="1" ht="17" customHeight="1" x14ac:dyDescent="0.2">
      <c r="A87" s="47"/>
      <c r="B87" s="28" t="s">
        <v>155</v>
      </c>
      <c r="C87" s="28" t="s">
        <v>341</v>
      </c>
      <c r="D87" s="44">
        <f>150*3*3*120</f>
        <v>162000</v>
      </c>
      <c r="E87" s="56"/>
    </row>
    <row r="88" spans="1:5" s="3" customFormat="1" ht="17" customHeight="1" x14ac:dyDescent="0.2">
      <c r="A88" s="92"/>
      <c r="B88" s="62" t="s">
        <v>332</v>
      </c>
      <c r="C88" s="28"/>
      <c r="D88" s="54">
        <f>D89+D90</f>
        <v>1200000</v>
      </c>
      <c r="E88" s="56"/>
    </row>
    <row r="89" spans="1:5" s="3" customFormat="1" ht="17" customHeight="1" x14ac:dyDescent="0.2">
      <c r="A89" s="47"/>
      <c r="B89" s="28" t="s">
        <v>248</v>
      </c>
      <c r="C89" s="28" t="s">
        <v>339</v>
      </c>
      <c r="D89" s="44">
        <v>800000</v>
      </c>
      <c r="E89" s="45"/>
    </row>
    <row r="90" spans="1:5" s="3" customFormat="1" ht="17" customHeight="1" x14ac:dyDescent="0.2">
      <c r="A90" s="47"/>
      <c r="B90" s="28" t="s">
        <v>249</v>
      </c>
      <c r="C90" s="28" t="s">
        <v>343</v>
      </c>
      <c r="D90" s="44">
        <v>400000</v>
      </c>
      <c r="E90" s="45"/>
    </row>
    <row r="91" spans="1:5" ht="17" customHeight="1" x14ac:dyDescent="0.2">
      <c r="A91" s="105"/>
      <c r="B91" s="62" t="s">
        <v>429</v>
      </c>
      <c r="C91" s="46"/>
      <c r="D91" s="139">
        <f>SUM(D92:D95)</f>
        <v>1683000</v>
      </c>
      <c r="E91" s="45"/>
    </row>
    <row r="92" spans="1:5" s="3" customFormat="1" ht="17" customHeight="1" x14ac:dyDescent="0.2">
      <c r="A92" s="37"/>
      <c r="B92" s="28" t="s">
        <v>430</v>
      </c>
      <c r="C92" s="28" t="s">
        <v>435</v>
      </c>
      <c r="D92" s="44">
        <f>SUM(14*70000)</f>
        <v>980000</v>
      </c>
      <c r="E92" s="45"/>
    </row>
    <row r="93" spans="1:5" s="3" customFormat="1" ht="17" customHeight="1" x14ac:dyDescent="0.2">
      <c r="A93" s="37"/>
      <c r="B93" s="28" t="s">
        <v>431</v>
      </c>
      <c r="C93" s="28" t="s">
        <v>432</v>
      </c>
      <c r="D93" s="44">
        <v>571000</v>
      </c>
      <c r="E93" s="45"/>
    </row>
    <row r="94" spans="1:5" s="3" customFormat="1" ht="17" customHeight="1" x14ac:dyDescent="0.2">
      <c r="A94" s="37"/>
      <c r="B94" s="28" t="s">
        <v>3</v>
      </c>
      <c r="C94" s="28" t="s">
        <v>433</v>
      </c>
      <c r="D94" s="44">
        <f>12*50*1*120</f>
        <v>72000</v>
      </c>
      <c r="E94" s="45"/>
    </row>
    <row r="95" spans="1:5" s="3" customFormat="1" ht="17" customHeight="1" x14ac:dyDescent="0.2">
      <c r="A95" s="37"/>
      <c r="B95" s="28" t="s">
        <v>434</v>
      </c>
      <c r="C95" s="28" t="s">
        <v>196</v>
      </c>
      <c r="D95" s="44">
        <f>SUM(500*120)</f>
        <v>60000</v>
      </c>
      <c r="E95" s="45"/>
    </row>
    <row r="96" spans="1:5" s="3" customFormat="1" ht="17" customHeight="1" x14ac:dyDescent="0.2">
      <c r="A96" s="92"/>
      <c r="B96" s="62" t="s">
        <v>250</v>
      </c>
      <c r="C96" s="62" t="s">
        <v>344</v>
      </c>
      <c r="D96" s="54">
        <v>3000000</v>
      </c>
      <c r="E96" s="52"/>
    </row>
    <row r="97" spans="1:5" ht="17" customHeight="1" x14ac:dyDescent="0.2">
      <c r="A97" s="92"/>
      <c r="B97" s="51" t="s">
        <v>0</v>
      </c>
      <c r="C97" s="46"/>
      <c r="D97" s="45"/>
      <c r="E97" s="54">
        <f>D85+D88+D91+D96</f>
        <v>6225000</v>
      </c>
    </row>
    <row r="98" spans="1:5" x14ac:dyDescent="0.2">
      <c r="A98" s="95"/>
      <c r="B98" s="19"/>
      <c r="C98" s="20"/>
      <c r="D98" s="26"/>
      <c r="E98" s="22"/>
    </row>
    <row r="99" spans="1:5" ht="17" x14ac:dyDescent="0.2">
      <c r="A99" s="94" t="s">
        <v>177</v>
      </c>
      <c r="B99" s="42" t="s">
        <v>26</v>
      </c>
      <c r="D99" s="29"/>
      <c r="E99" s="29"/>
    </row>
    <row r="100" spans="1:5" ht="49.25" customHeight="1" x14ac:dyDescent="0.2">
      <c r="A100" s="95"/>
      <c r="B100" s="217" t="s">
        <v>361</v>
      </c>
      <c r="C100" s="217"/>
      <c r="D100" s="217"/>
      <c r="E100" s="218"/>
    </row>
    <row r="101" spans="1:5" s="3" customFormat="1" ht="21" customHeight="1" x14ac:dyDescent="0.2">
      <c r="A101" s="92"/>
      <c r="B101" s="28" t="s">
        <v>139</v>
      </c>
      <c r="C101" s="28" t="s">
        <v>333</v>
      </c>
      <c r="D101" s="44">
        <f>15000*120</f>
        <v>1800000</v>
      </c>
      <c r="E101" s="45"/>
    </row>
    <row r="102" spans="1:5" s="3" customFormat="1" ht="17" x14ac:dyDescent="0.2">
      <c r="A102" s="47"/>
      <c r="B102" s="28" t="s">
        <v>4</v>
      </c>
      <c r="C102" s="28" t="s">
        <v>196</v>
      </c>
      <c r="D102" s="44">
        <f>500*120</f>
        <v>60000</v>
      </c>
      <c r="E102" s="45"/>
    </row>
    <row r="103" spans="1:5" s="3" customFormat="1" ht="17" x14ac:dyDescent="0.2">
      <c r="A103" s="47"/>
      <c r="B103" s="46" t="s">
        <v>22</v>
      </c>
      <c r="C103" s="143" t="s">
        <v>505</v>
      </c>
      <c r="D103" s="45">
        <v>60000</v>
      </c>
      <c r="E103" s="45"/>
    </row>
    <row r="104" spans="1:5" s="3" customFormat="1" ht="17" x14ac:dyDescent="0.2">
      <c r="A104" s="47"/>
      <c r="B104" s="85" t="s">
        <v>253</v>
      </c>
      <c r="C104" s="64" t="s">
        <v>306</v>
      </c>
      <c r="D104" s="44">
        <v>300000</v>
      </c>
      <c r="E104" s="45"/>
    </row>
    <row r="105" spans="1:5" s="3" customFormat="1" ht="17" x14ac:dyDescent="0.2">
      <c r="A105" s="47"/>
      <c r="B105" s="28" t="s">
        <v>5</v>
      </c>
      <c r="C105" s="28" t="s">
        <v>307</v>
      </c>
      <c r="D105" s="44">
        <f>SUM(15*10*5*120)</f>
        <v>90000</v>
      </c>
      <c r="E105" s="56"/>
    </row>
    <row r="106" spans="1:5" s="3" customFormat="1" ht="17" x14ac:dyDescent="0.2">
      <c r="A106" s="47"/>
      <c r="B106" s="28" t="s">
        <v>6</v>
      </c>
      <c r="C106" s="28" t="s">
        <v>198</v>
      </c>
      <c r="D106" s="44">
        <f>SUM(10000*120)</f>
        <v>1200000</v>
      </c>
      <c r="E106" s="56"/>
    </row>
    <row r="107" spans="1:5" s="3" customFormat="1" ht="17" x14ac:dyDescent="0.2">
      <c r="A107" s="47"/>
      <c r="B107" s="28" t="s">
        <v>150</v>
      </c>
      <c r="C107" s="28" t="s">
        <v>308</v>
      </c>
      <c r="D107" s="44">
        <f>80000*5</f>
        <v>400000</v>
      </c>
      <c r="E107" s="56"/>
    </row>
    <row r="108" spans="1:5" s="3" customFormat="1" ht="17" x14ac:dyDescent="0.2">
      <c r="A108" s="47"/>
      <c r="B108" s="28" t="s">
        <v>7</v>
      </c>
      <c r="C108" s="28" t="s">
        <v>309</v>
      </c>
      <c r="D108" s="44">
        <f>15000*5</f>
        <v>75000</v>
      </c>
      <c r="E108" s="45"/>
    </row>
    <row r="109" spans="1:5" s="3" customFormat="1" ht="17" x14ac:dyDescent="0.2">
      <c r="A109" s="47"/>
      <c r="B109" s="28" t="s">
        <v>21</v>
      </c>
      <c r="C109" s="28" t="s">
        <v>204</v>
      </c>
      <c r="D109" s="44">
        <f>120000+240000</f>
        <v>360000</v>
      </c>
      <c r="E109" s="45"/>
    </row>
    <row r="110" spans="1:5" s="3" customFormat="1" ht="17" x14ac:dyDescent="0.2">
      <c r="A110" s="47"/>
      <c r="B110" s="28" t="s">
        <v>18</v>
      </c>
      <c r="C110" s="28" t="s">
        <v>310</v>
      </c>
      <c r="D110" s="44">
        <v>250000</v>
      </c>
      <c r="E110" s="45"/>
    </row>
    <row r="111" spans="1:5" s="3" customFormat="1" ht="17" x14ac:dyDescent="0.2">
      <c r="A111" s="47"/>
      <c r="B111" s="28" t="s">
        <v>140</v>
      </c>
      <c r="C111" s="28" t="s">
        <v>209</v>
      </c>
      <c r="D111" s="44">
        <v>240000</v>
      </c>
      <c r="E111" s="45"/>
    </row>
    <row r="112" spans="1:5" ht="17" x14ac:dyDescent="0.2">
      <c r="B112" s="25" t="s">
        <v>0</v>
      </c>
      <c r="D112" s="29"/>
      <c r="E112" s="18">
        <f>SUM(D101:D111)</f>
        <v>4835000</v>
      </c>
    </row>
    <row r="113" spans="1:5" x14ac:dyDescent="0.2">
      <c r="A113" s="95"/>
      <c r="B113" s="19"/>
      <c r="C113" s="20"/>
      <c r="D113" s="26"/>
      <c r="E113" s="22"/>
    </row>
    <row r="114" spans="1:5" ht="17" x14ac:dyDescent="0.2">
      <c r="A114" s="94" t="s">
        <v>174</v>
      </c>
      <c r="B114" s="42" t="s">
        <v>27</v>
      </c>
      <c r="D114" s="29"/>
      <c r="E114" s="29"/>
    </row>
    <row r="115" spans="1:5" ht="51" customHeight="1" x14ac:dyDescent="0.2">
      <c r="A115" s="95"/>
      <c r="B115" s="196" t="s">
        <v>210</v>
      </c>
      <c r="C115" s="196"/>
      <c r="D115" s="196"/>
      <c r="E115" s="196"/>
    </row>
    <row r="116" spans="1:5" ht="20" customHeight="1" x14ac:dyDescent="0.2">
      <c r="A116" s="28"/>
      <c r="B116" s="35" t="s">
        <v>514</v>
      </c>
      <c r="C116" s="54">
        <f>SUM(D117:D120)</f>
        <v>670000</v>
      </c>
      <c r="D116" s="67"/>
      <c r="E116" s="67"/>
    </row>
    <row r="117" spans="1:5" s="170" customFormat="1" ht="20" customHeight="1" x14ac:dyDescent="0.2">
      <c r="A117" s="47"/>
      <c r="B117" s="28" t="s">
        <v>313</v>
      </c>
      <c r="C117" s="28" t="s">
        <v>204</v>
      </c>
      <c r="D117" s="44">
        <f>3000*120</f>
        <v>360000</v>
      </c>
      <c r="E117" s="169"/>
    </row>
    <row r="118" spans="1:5" s="3" customFormat="1" ht="17" x14ac:dyDescent="0.2">
      <c r="A118" s="47"/>
      <c r="B118" s="28" t="s">
        <v>500</v>
      </c>
      <c r="C118" s="64" t="s">
        <v>501</v>
      </c>
      <c r="D118" s="44">
        <v>150000</v>
      </c>
      <c r="E118" s="56"/>
    </row>
    <row r="119" spans="1:5" s="170" customFormat="1" ht="20" customHeight="1" x14ac:dyDescent="0.2">
      <c r="A119" s="28"/>
      <c r="B119" s="85" t="s">
        <v>8</v>
      </c>
      <c r="C119" s="85" t="s">
        <v>516</v>
      </c>
      <c r="D119" s="59">
        <v>40000</v>
      </c>
      <c r="E119" s="169"/>
    </row>
    <row r="120" spans="1:5" s="173" customFormat="1" ht="20" customHeight="1" x14ac:dyDescent="0.2">
      <c r="A120" s="28"/>
      <c r="B120" s="85" t="s">
        <v>211</v>
      </c>
      <c r="C120" s="85" t="s">
        <v>255</v>
      </c>
      <c r="D120" s="59">
        <f>1000*120</f>
        <v>120000</v>
      </c>
      <c r="E120" s="172"/>
    </row>
    <row r="121" spans="1:5" s="3" customFormat="1" ht="20" customHeight="1" x14ac:dyDescent="0.2">
      <c r="A121" s="92"/>
      <c r="B121" s="62" t="s">
        <v>311</v>
      </c>
      <c r="C121" s="65">
        <f>SUM(D122:D126)</f>
        <v>2496000</v>
      </c>
      <c r="D121" s="59"/>
      <c r="E121" s="67"/>
    </row>
    <row r="122" spans="1:5" s="3" customFormat="1" ht="20" customHeight="1" x14ac:dyDescent="0.2">
      <c r="A122" s="28"/>
      <c r="B122" s="85" t="s">
        <v>212</v>
      </c>
      <c r="C122" s="85" t="s">
        <v>334</v>
      </c>
      <c r="D122" s="59">
        <f>10000*120</f>
        <v>1200000</v>
      </c>
      <c r="E122" s="67"/>
    </row>
    <row r="123" spans="1:5" s="3" customFormat="1" ht="17" x14ac:dyDescent="0.2">
      <c r="A123" s="47"/>
      <c r="B123" s="28" t="s">
        <v>151</v>
      </c>
      <c r="C123" s="64" t="s">
        <v>312</v>
      </c>
      <c r="D123" s="44">
        <f>SUM(60000*6)</f>
        <v>360000</v>
      </c>
      <c r="E123" s="56"/>
    </row>
    <row r="124" spans="1:5" s="3" customFormat="1" ht="18" customHeight="1" x14ac:dyDescent="0.2">
      <c r="A124" s="47"/>
      <c r="B124" s="28" t="s">
        <v>313</v>
      </c>
      <c r="C124" s="28" t="s">
        <v>415</v>
      </c>
      <c r="D124" s="44">
        <f>6700*120</f>
        <v>804000</v>
      </c>
      <c r="E124" s="56"/>
    </row>
    <row r="125" spans="1:5" s="3" customFormat="1" ht="18" customHeight="1" x14ac:dyDescent="0.2">
      <c r="A125" s="47"/>
      <c r="B125" s="37" t="s">
        <v>213</v>
      </c>
      <c r="C125" s="37" t="s">
        <v>314</v>
      </c>
      <c r="D125" s="59">
        <f>700*120</f>
        <v>84000</v>
      </c>
      <c r="E125" s="45"/>
    </row>
    <row r="126" spans="1:5" s="3" customFormat="1" ht="18" customHeight="1" x14ac:dyDescent="0.2">
      <c r="A126" s="47"/>
      <c r="B126" s="37" t="s">
        <v>214</v>
      </c>
      <c r="C126" s="37" t="s">
        <v>315</v>
      </c>
      <c r="D126" s="59">
        <f>400*120</f>
        <v>48000</v>
      </c>
      <c r="E126" s="45"/>
    </row>
    <row r="127" spans="1:5" ht="17" x14ac:dyDescent="0.2">
      <c r="B127" s="25" t="s">
        <v>0</v>
      </c>
      <c r="C127" s="15"/>
      <c r="D127" s="29"/>
      <c r="E127" s="18">
        <f>C116+C121</f>
        <v>3166000</v>
      </c>
    </row>
    <row r="128" spans="1:5" x14ac:dyDescent="0.2">
      <c r="A128" s="95"/>
      <c r="B128" s="19"/>
      <c r="C128" s="20"/>
      <c r="D128" s="26"/>
      <c r="E128" s="22"/>
    </row>
    <row r="129" spans="1:5" x14ac:dyDescent="0.2">
      <c r="A129" s="94" t="s">
        <v>175</v>
      </c>
      <c r="B129" s="198" t="s">
        <v>28</v>
      </c>
      <c r="C129" s="198"/>
      <c r="D129" s="29"/>
      <c r="E129" s="29"/>
    </row>
    <row r="130" spans="1:5" ht="54.5" customHeight="1" x14ac:dyDescent="0.2">
      <c r="A130" s="95"/>
      <c r="B130" s="196" t="s">
        <v>157</v>
      </c>
      <c r="C130" s="196"/>
      <c r="D130" s="196"/>
      <c r="E130" s="196"/>
    </row>
    <row r="131" spans="1:5" s="3" customFormat="1" ht="17" x14ac:dyDescent="0.2">
      <c r="A131" s="47"/>
      <c r="B131" s="28" t="s">
        <v>10</v>
      </c>
      <c r="C131" s="28" t="s">
        <v>475</v>
      </c>
      <c r="D131" s="44">
        <f>30000*3</f>
        <v>90000</v>
      </c>
      <c r="E131" s="56"/>
    </row>
    <row r="132" spans="1:5" s="3" customFormat="1" ht="17" x14ac:dyDescent="0.2">
      <c r="A132" s="47"/>
      <c r="B132" s="28" t="s">
        <v>16</v>
      </c>
      <c r="C132" s="28" t="s">
        <v>476</v>
      </c>
      <c r="D132" s="44">
        <f>90*3*3*120</f>
        <v>97200</v>
      </c>
      <c r="E132" s="56"/>
    </row>
    <row r="133" spans="1:5" s="3" customFormat="1" ht="17" x14ac:dyDescent="0.2">
      <c r="A133" s="47"/>
      <c r="B133" s="28" t="s">
        <v>8</v>
      </c>
      <c r="C133" s="28" t="s">
        <v>477</v>
      </c>
      <c r="D133" s="44">
        <f>15*4*3*120</f>
        <v>21600</v>
      </c>
      <c r="E133" s="56"/>
    </row>
    <row r="134" spans="1:5" s="3" customFormat="1" ht="17" x14ac:dyDescent="0.2">
      <c r="A134" s="47"/>
      <c r="B134" s="28" t="s">
        <v>70</v>
      </c>
      <c r="C134" s="28" t="s">
        <v>196</v>
      </c>
      <c r="D134" s="44">
        <v>60000</v>
      </c>
      <c r="E134" s="45"/>
    </row>
    <row r="135" spans="1:5" s="3" customFormat="1" ht="17" x14ac:dyDescent="0.2">
      <c r="A135" s="47"/>
      <c r="B135" s="28" t="s">
        <v>104</v>
      </c>
      <c r="C135" s="66" t="s">
        <v>198</v>
      </c>
      <c r="D135" s="44">
        <f>10000*120</f>
        <v>1200000</v>
      </c>
      <c r="E135" s="45"/>
    </row>
    <row r="136" spans="1:5" s="3" customFormat="1" ht="17" x14ac:dyDescent="0.2">
      <c r="A136" s="92"/>
      <c r="B136" s="51" t="s">
        <v>0</v>
      </c>
      <c r="C136" s="46"/>
      <c r="D136" s="45"/>
      <c r="E136" s="54">
        <f>SUM(D131:D135)</f>
        <v>1468800</v>
      </c>
    </row>
    <row r="137" spans="1:5" s="3" customFormat="1" x14ac:dyDescent="0.2">
      <c r="A137" s="95"/>
      <c r="B137" s="19"/>
      <c r="C137" s="20"/>
      <c r="D137" s="26"/>
      <c r="E137" s="22"/>
    </row>
    <row r="138" spans="1:5" ht="17" x14ac:dyDescent="0.2">
      <c r="A138" s="94" t="s">
        <v>176</v>
      </c>
      <c r="B138" s="42" t="s">
        <v>105</v>
      </c>
      <c r="D138" s="29"/>
      <c r="E138" s="29"/>
    </row>
    <row r="139" spans="1:5" ht="68" customHeight="1" x14ac:dyDescent="0.2">
      <c r="A139" s="95"/>
      <c r="B139" s="195" t="s">
        <v>254</v>
      </c>
      <c r="C139" s="195"/>
      <c r="D139" s="195"/>
      <c r="E139" s="219"/>
    </row>
    <row r="140" spans="1:5" s="170" customFormat="1" ht="19.25" customHeight="1" x14ac:dyDescent="0.2">
      <c r="A140" s="47"/>
      <c r="B140" s="28" t="s">
        <v>106</v>
      </c>
      <c r="C140" s="28" t="s">
        <v>199</v>
      </c>
      <c r="D140" s="44">
        <f>SUM(5000*120)</f>
        <v>600000</v>
      </c>
      <c r="E140" s="87"/>
    </row>
    <row r="141" spans="1:5" s="3" customFormat="1" ht="17" x14ac:dyDescent="0.2">
      <c r="A141" s="47"/>
      <c r="B141" s="28" t="s">
        <v>16</v>
      </c>
      <c r="C141" s="28" t="s">
        <v>502</v>
      </c>
      <c r="D141" s="44">
        <v>10000</v>
      </c>
      <c r="E141" s="56"/>
    </row>
    <row r="142" spans="1:5" s="170" customFormat="1" ht="18" customHeight="1" x14ac:dyDescent="0.2">
      <c r="A142" s="47"/>
      <c r="B142" s="28" t="s">
        <v>112</v>
      </c>
      <c r="C142" s="28" t="s">
        <v>316</v>
      </c>
      <c r="D142" s="44">
        <v>120000</v>
      </c>
      <c r="E142" s="87"/>
    </row>
    <row r="143" spans="1:5" s="170" customFormat="1" ht="18.5" customHeight="1" x14ac:dyDescent="0.2">
      <c r="A143" s="47"/>
      <c r="B143" s="28" t="s">
        <v>517</v>
      </c>
      <c r="C143" s="28" t="s">
        <v>503</v>
      </c>
      <c r="D143" s="45">
        <v>30000</v>
      </c>
      <c r="E143" s="174"/>
    </row>
    <row r="144" spans="1:5" s="170" customFormat="1" ht="16.25" customHeight="1" x14ac:dyDescent="0.2">
      <c r="A144" s="47"/>
      <c r="B144" s="28" t="s">
        <v>70</v>
      </c>
      <c r="C144" s="28" t="s">
        <v>283</v>
      </c>
      <c r="D144" s="45">
        <f>600*120</f>
        <v>72000</v>
      </c>
      <c r="E144" s="87"/>
    </row>
    <row r="145" spans="1:5" s="170" customFormat="1" ht="17" x14ac:dyDescent="0.2">
      <c r="A145" s="47"/>
      <c r="B145" s="46" t="s">
        <v>121</v>
      </c>
      <c r="C145" s="46" t="s">
        <v>504</v>
      </c>
      <c r="D145" s="44">
        <v>8000</v>
      </c>
      <c r="E145" s="174"/>
    </row>
    <row r="146" spans="1:5" ht="17" customHeight="1" x14ac:dyDescent="0.2">
      <c r="A146" s="92"/>
      <c r="B146" s="51" t="s">
        <v>0</v>
      </c>
      <c r="C146" s="46"/>
      <c r="D146" s="45"/>
      <c r="E146" s="54">
        <f>SUM(D140:D145)</f>
        <v>840000</v>
      </c>
    </row>
    <row r="147" spans="1:5" x14ac:dyDescent="0.2">
      <c r="A147" s="95"/>
      <c r="B147" s="19"/>
      <c r="C147" s="20"/>
      <c r="D147" s="26"/>
      <c r="E147" s="22"/>
    </row>
    <row r="148" spans="1:5" s="3" customFormat="1" ht="18" customHeight="1" x14ac:dyDescent="0.2">
      <c r="A148" s="92" t="s">
        <v>446</v>
      </c>
      <c r="B148" s="91" t="s">
        <v>515</v>
      </c>
      <c r="C148" s="88"/>
      <c r="D148" s="87"/>
      <c r="E148" s="87"/>
    </row>
    <row r="149" spans="1:5" ht="71.75" customHeight="1" x14ac:dyDescent="0.2">
      <c r="A149" s="95"/>
      <c r="B149" s="200" t="s">
        <v>349</v>
      </c>
      <c r="C149" s="201"/>
      <c r="D149" s="201"/>
      <c r="E149" s="201"/>
    </row>
    <row r="150" spans="1:5" s="3" customFormat="1" ht="17" x14ac:dyDescent="0.2">
      <c r="A150" s="47"/>
      <c r="B150" s="28" t="s">
        <v>394</v>
      </c>
      <c r="C150" s="28" t="s">
        <v>393</v>
      </c>
      <c r="D150" s="44">
        <f>60000*10</f>
        <v>600000</v>
      </c>
      <c r="E150" s="45"/>
    </row>
    <row r="151" spans="1:5" s="3" customFormat="1" ht="17" x14ac:dyDescent="0.2">
      <c r="A151" s="47"/>
      <c r="B151" s="28" t="s">
        <v>8</v>
      </c>
      <c r="C151" s="28" t="s">
        <v>350</v>
      </c>
      <c r="D151" s="44">
        <v>22000</v>
      </c>
      <c r="E151" s="45"/>
    </row>
    <row r="152" spans="1:5" s="3" customFormat="1" ht="17" x14ac:dyDescent="0.2">
      <c r="A152" s="47"/>
      <c r="B152" s="69" t="s">
        <v>448</v>
      </c>
      <c r="C152" s="68" t="s">
        <v>437</v>
      </c>
      <c r="D152" s="45">
        <v>3600000</v>
      </c>
      <c r="E152" s="45"/>
    </row>
    <row r="153" spans="1:5" s="3" customFormat="1" ht="17" x14ac:dyDescent="0.2">
      <c r="A153" s="92"/>
      <c r="B153" s="25" t="s">
        <v>0</v>
      </c>
      <c r="C153" s="13"/>
      <c r="D153" s="29"/>
      <c r="E153" s="18">
        <f>SUM(D150:D152)</f>
        <v>4222000</v>
      </c>
    </row>
    <row r="154" spans="1:5" x14ac:dyDescent="0.2">
      <c r="A154" s="95"/>
      <c r="B154" s="90"/>
      <c r="C154" s="20"/>
      <c r="D154" s="26"/>
      <c r="E154" s="22"/>
    </row>
    <row r="155" spans="1:5" s="3" customFormat="1" ht="21" customHeight="1" x14ac:dyDescent="0.2">
      <c r="A155" s="92" t="s">
        <v>178</v>
      </c>
      <c r="B155" s="211" t="s">
        <v>469</v>
      </c>
      <c r="C155" s="201"/>
      <c r="D155" s="201"/>
      <c r="E155" s="201"/>
    </row>
    <row r="156" spans="1:5" ht="53.5" customHeight="1" x14ac:dyDescent="0.2">
      <c r="A156" s="95"/>
      <c r="B156" s="200" t="s">
        <v>467</v>
      </c>
      <c r="C156" s="201"/>
      <c r="D156" s="201"/>
      <c r="E156" s="201"/>
    </row>
    <row r="157" spans="1:5" s="3" customFormat="1" ht="17" x14ac:dyDescent="0.2">
      <c r="A157" s="47"/>
      <c r="B157" s="69" t="s">
        <v>447</v>
      </c>
      <c r="C157" s="68" t="s">
        <v>507</v>
      </c>
      <c r="D157" s="45">
        <f>6000000+1000000</f>
        <v>7000000</v>
      </c>
      <c r="E157" s="45"/>
    </row>
    <row r="158" spans="1:5" s="3" customFormat="1" ht="17" x14ac:dyDescent="0.2">
      <c r="A158" s="92"/>
      <c r="B158" s="25" t="s">
        <v>0</v>
      </c>
      <c r="C158" s="13"/>
      <c r="D158" s="29"/>
      <c r="E158" s="18">
        <f>SUM(D157:D157)</f>
        <v>7000000</v>
      </c>
    </row>
    <row r="159" spans="1:5" x14ac:dyDescent="0.2">
      <c r="A159" s="95"/>
      <c r="B159" s="19"/>
      <c r="C159" s="20"/>
      <c r="D159" s="26"/>
      <c r="E159" s="22"/>
    </row>
    <row r="160" spans="1:5" s="3" customFormat="1" ht="17" x14ac:dyDescent="0.2">
      <c r="A160" s="92">
        <v>2.11</v>
      </c>
      <c r="B160" s="53" t="s">
        <v>357</v>
      </c>
      <c r="C160" s="62"/>
      <c r="D160" s="52"/>
      <c r="E160" s="56"/>
    </row>
    <row r="161" spans="1:5" ht="89" customHeight="1" x14ac:dyDescent="0.2">
      <c r="A161" s="95"/>
      <c r="B161" s="200" t="s">
        <v>354</v>
      </c>
      <c r="C161" s="201"/>
      <c r="D161" s="201"/>
      <c r="E161" s="201"/>
    </row>
    <row r="162" spans="1:5" s="3" customFormat="1" ht="21" customHeight="1" x14ac:dyDescent="0.2">
      <c r="A162" s="47"/>
      <c r="B162" s="28" t="s">
        <v>355</v>
      </c>
      <c r="C162" s="28" t="s">
        <v>346</v>
      </c>
      <c r="D162" s="44">
        <f>25000*8</f>
        <v>200000</v>
      </c>
      <c r="E162" s="45"/>
    </row>
    <row r="163" spans="1:5" s="3" customFormat="1" ht="17" x14ac:dyDescent="0.2">
      <c r="A163" s="47"/>
      <c r="B163" s="28" t="s">
        <v>16</v>
      </c>
      <c r="C163" s="28" t="s">
        <v>305</v>
      </c>
      <c r="D163" s="44">
        <f>100*3*2*120</f>
        <v>72000</v>
      </c>
      <c r="E163" s="45"/>
    </row>
    <row r="164" spans="1:5" s="3" customFormat="1" ht="17" x14ac:dyDescent="0.2">
      <c r="A164" s="47"/>
      <c r="B164" s="28" t="s">
        <v>8</v>
      </c>
      <c r="C164" s="28" t="s">
        <v>356</v>
      </c>
      <c r="D164" s="44">
        <v>8000</v>
      </c>
      <c r="E164" s="45"/>
    </row>
    <row r="165" spans="1:5" s="3" customFormat="1" ht="17" x14ac:dyDescent="0.2">
      <c r="A165" s="47"/>
      <c r="B165" s="67" t="s">
        <v>335</v>
      </c>
      <c r="C165" s="46" t="s">
        <v>438</v>
      </c>
      <c r="D165" s="45">
        <f>8000*120</f>
        <v>960000</v>
      </c>
      <c r="E165" s="44"/>
    </row>
    <row r="166" spans="1:5" s="3" customFormat="1" ht="17" x14ac:dyDescent="0.2">
      <c r="A166" s="92"/>
      <c r="B166" s="25" t="s">
        <v>0</v>
      </c>
      <c r="C166" s="13"/>
      <c r="D166" s="29"/>
      <c r="E166" s="18">
        <f>SUM(D162:D165)</f>
        <v>1240000</v>
      </c>
    </row>
    <row r="167" spans="1:5" x14ac:dyDescent="0.2">
      <c r="A167" s="95"/>
      <c r="B167" s="19"/>
      <c r="C167" s="20"/>
      <c r="D167" s="26"/>
      <c r="E167" s="22"/>
    </row>
    <row r="168" spans="1:5" ht="17" x14ac:dyDescent="0.2">
      <c r="A168" s="94" t="s">
        <v>449</v>
      </c>
      <c r="B168" s="42" t="s">
        <v>111</v>
      </c>
      <c r="C168" s="42"/>
      <c r="D168" s="29"/>
      <c r="E168" s="30"/>
    </row>
    <row r="169" spans="1:5" ht="93" customHeight="1" x14ac:dyDescent="0.2">
      <c r="A169" s="95"/>
      <c r="B169" s="196" t="s">
        <v>347</v>
      </c>
      <c r="C169" s="196"/>
      <c r="D169" s="196"/>
      <c r="E169" s="199"/>
    </row>
    <row r="170" spans="1:5" s="3" customFormat="1" ht="17" x14ac:dyDescent="0.2">
      <c r="A170" s="47"/>
      <c r="B170" s="67" t="s">
        <v>216</v>
      </c>
      <c r="C170" s="28" t="s">
        <v>450</v>
      </c>
      <c r="D170" s="45">
        <v>4800000</v>
      </c>
      <c r="E170" s="45"/>
    </row>
    <row r="171" spans="1:5" s="3" customFormat="1" ht="17" x14ac:dyDescent="0.2">
      <c r="A171" s="47"/>
      <c r="B171" s="67" t="s">
        <v>508</v>
      </c>
      <c r="C171" s="28" t="s">
        <v>506</v>
      </c>
      <c r="D171" s="45">
        <v>60000</v>
      </c>
      <c r="E171" s="56"/>
    </row>
    <row r="172" spans="1:5" ht="17" x14ac:dyDescent="0.2">
      <c r="B172" s="25" t="s">
        <v>0</v>
      </c>
      <c r="D172" s="29"/>
      <c r="E172" s="18">
        <f>SUM(D170:D171)</f>
        <v>4860000</v>
      </c>
    </row>
    <row r="173" spans="1:5" x14ac:dyDescent="0.2">
      <c r="A173" s="95"/>
      <c r="B173" s="19"/>
      <c r="C173" s="20"/>
      <c r="D173" s="26"/>
      <c r="E173" s="22"/>
    </row>
    <row r="174" spans="1:5" ht="17" x14ac:dyDescent="0.2">
      <c r="A174" s="94" t="s">
        <v>451</v>
      </c>
      <c r="B174" s="42" t="s">
        <v>125</v>
      </c>
      <c r="D174" s="29"/>
      <c r="E174" s="29"/>
    </row>
    <row r="175" spans="1:5" ht="45.5" customHeight="1" x14ac:dyDescent="0.2">
      <c r="A175" s="95"/>
      <c r="B175" s="194" t="s">
        <v>317</v>
      </c>
      <c r="C175" s="194"/>
      <c r="D175" s="194"/>
      <c r="E175" s="194"/>
    </row>
    <row r="176" spans="1:5" s="3" customFormat="1" ht="17" x14ac:dyDescent="0.2">
      <c r="A176" s="47"/>
      <c r="B176" s="28" t="s">
        <v>158</v>
      </c>
      <c r="C176" s="28" t="s">
        <v>478</v>
      </c>
      <c r="D176" s="44">
        <f>2000*120</f>
        <v>240000</v>
      </c>
      <c r="E176" s="45"/>
    </row>
    <row r="177" spans="1:5" s="3" customFormat="1" ht="17" x14ac:dyDescent="0.2">
      <c r="A177" s="47"/>
      <c r="B177" s="28" t="s">
        <v>440</v>
      </c>
      <c r="C177" s="28" t="s">
        <v>479</v>
      </c>
      <c r="D177" s="44">
        <f>45000*4</f>
        <v>180000</v>
      </c>
      <c r="E177" s="56"/>
    </row>
    <row r="178" spans="1:5" s="3" customFormat="1" ht="17" x14ac:dyDescent="0.2">
      <c r="A178" s="47"/>
      <c r="B178" s="28" t="s">
        <v>130</v>
      </c>
      <c r="C178" s="28" t="s">
        <v>480</v>
      </c>
      <c r="D178" s="44">
        <f>220*4*3*120</f>
        <v>316800</v>
      </c>
      <c r="E178" s="56"/>
    </row>
    <row r="179" spans="1:5" s="3" customFormat="1" ht="17" x14ac:dyDescent="0.2">
      <c r="A179" s="47"/>
      <c r="B179" s="28" t="s">
        <v>70</v>
      </c>
      <c r="C179" s="28" t="s">
        <v>439</v>
      </c>
      <c r="D179" s="44">
        <f>400*120</f>
        <v>48000</v>
      </c>
      <c r="E179" s="56"/>
    </row>
    <row r="180" spans="1:5" s="3" customFormat="1" ht="17" x14ac:dyDescent="0.2">
      <c r="A180" s="47"/>
      <c r="B180" s="28" t="s">
        <v>8</v>
      </c>
      <c r="C180" s="28" t="s">
        <v>441</v>
      </c>
      <c r="D180" s="44">
        <f>15*4*15*120</f>
        <v>108000</v>
      </c>
      <c r="E180" s="56"/>
    </row>
    <row r="181" spans="1:5" ht="17" x14ac:dyDescent="0.2">
      <c r="B181" s="25" t="s">
        <v>0</v>
      </c>
      <c r="D181" s="29"/>
      <c r="E181" s="18">
        <f>SUM(D176:D180)</f>
        <v>892800</v>
      </c>
    </row>
    <row r="182" spans="1:5" x14ac:dyDescent="0.2">
      <c r="A182" s="95"/>
      <c r="B182" s="19"/>
      <c r="C182" s="20"/>
      <c r="D182" s="26"/>
      <c r="E182" s="22"/>
    </row>
    <row r="183" spans="1:5" x14ac:dyDescent="0.2">
      <c r="A183" s="94" t="s">
        <v>452</v>
      </c>
      <c r="B183" s="198" t="s">
        <v>160</v>
      </c>
      <c r="C183" s="198"/>
      <c r="D183" s="29"/>
      <c r="E183" s="29"/>
    </row>
    <row r="184" spans="1:5" ht="36" customHeight="1" x14ac:dyDescent="0.2">
      <c r="A184" s="95"/>
      <c r="B184" s="217" t="s">
        <v>9</v>
      </c>
      <c r="C184" s="217"/>
      <c r="D184" s="217"/>
      <c r="E184" s="218"/>
    </row>
    <row r="185" spans="1:5" s="3" customFormat="1" ht="17.75" customHeight="1" x14ac:dyDescent="0.2">
      <c r="A185" s="47"/>
      <c r="B185" s="85" t="s">
        <v>13</v>
      </c>
      <c r="C185" s="28" t="s">
        <v>230</v>
      </c>
      <c r="D185" s="45">
        <f>3000*120</f>
        <v>360000</v>
      </c>
      <c r="E185" s="45"/>
    </row>
    <row r="186" spans="1:5" s="3" customFormat="1" ht="18.5" customHeight="1" x14ac:dyDescent="0.2">
      <c r="A186" s="47"/>
      <c r="B186" s="85" t="s">
        <v>318</v>
      </c>
      <c r="C186" s="28" t="s">
        <v>203</v>
      </c>
      <c r="D186" s="45">
        <v>80000</v>
      </c>
      <c r="E186" s="45"/>
    </row>
    <row r="187" spans="1:5" s="3" customFormat="1" ht="17" x14ac:dyDescent="0.2">
      <c r="A187" s="47"/>
      <c r="B187" s="28" t="s">
        <v>145</v>
      </c>
      <c r="C187" s="28" t="s">
        <v>395</v>
      </c>
      <c r="D187" s="44">
        <v>8000</v>
      </c>
      <c r="E187" s="56"/>
    </row>
    <row r="188" spans="1:5" ht="17" x14ac:dyDescent="0.2">
      <c r="B188" s="25" t="s">
        <v>0</v>
      </c>
      <c r="D188" s="29"/>
      <c r="E188" s="18">
        <f>SUM(D185:D187)</f>
        <v>448000</v>
      </c>
    </row>
    <row r="189" spans="1:5" x14ac:dyDescent="0.2">
      <c r="A189" s="95"/>
      <c r="B189" s="19"/>
      <c r="C189" s="20"/>
      <c r="D189" s="26"/>
      <c r="E189" s="22"/>
    </row>
    <row r="190" spans="1:5" ht="17" x14ac:dyDescent="0.2">
      <c r="A190" s="94" t="s">
        <v>453</v>
      </c>
      <c r="B190" s="33" t="s">
        <v>251</v>
      </c>
      <c r="C190" s="34"/>
      <c r="D190" s="14"/>
      <c r="E190" s="18"/>
    </row>
    <row r="191" spans="1:5" ht="39" customHeight="1" x14ac:dyDescent="0.2">
      <c r="A191" s="95"/>
      <c r="B191" s="196" t="s">
        <v>320</v>
      </c>
      <c r="C191" s="196"/>
      <c r="D191" s="196"/>
      <c r="E191" s="196"/>
    </row>
    <row r="192" spans="1:5" s="3" customFormat="1" ht="17" x14ac:dyDescent="0.2">
      <c r="A192" s="47"/>
      <c r="B192" s="85" t="s">
        <v>11</v>
      </c>
      <c r="C192" s="68" t="s">
        <v>219</v>
      </c>
      <c r="D192" s="44">
        <v>60000</v>
      </c>
      <c r="E192" s="44"/>
    </row>
    <row r="193" spans="1:5" ht="17" x14ac:dyDescent="0.2">
      <c r="B193" s="31" t="s">
        <v>0</v>
      </c>
      <c r="C193" s="25"/>
      <c r="D193" s="29"/>
      <c r="E193" s="30">
        <f>D192</f>
        <v>60000</v>
      </c>
    </row>
    <row r="194" spans="1:5" x14ac:dyDescent="0.2">
      <c r="A194" s="95"/>
      <c r="B194" s="19"/>
      <c r="C194" s="20"/>
      <c r="D194" s="26"/>
      <c r="E194" s="22"/>
    </row>
    <row r="195" spans="1:5" ht="17" x14ac:dyDescent="0.2">
      <c r="A195" s="94" t="s">
        <v>363</v>
      </c>
      <c r="B195" s="33" t="s">
        <v>127</v>
      </c>
      <c r="C195" s="34"/>
      <c r="D195" s="14"/>
      <c r="E195" s="18"/>
    </row>
    <row r="196" spans="1:5" ht="38" customHeight="1" x14ac:dyDescent="0.2">
      <c r="A196" s="95"/>
      <c r="B196" s="196" t="s">
        <v>12</v>
      </c>
      <c r="C196" s="196"/>
      <c r="D196" s="196"/>
      <c r="E196" s="197"/>
    </row>
    <row r="197" spans="1:5" s="3" customFormat="1" ht="17" x14ac:dyDescent="0.2">
      <c r="A197" s="47"/>
      <c r="B197" s="85" t="s">
        <v>11</v>
      </c>
      <c r="C197" s="68" t="s">
        <v>195</v>
      </c>
      <c r="D197" s="44">
        <f>5000*120</f>
        <v>600000</v>
      </c>
      <c r="E197" s="44"/>
    </row>
    <row r="198" spans="1:5" ht="17" x14ac:dyDescent="0.2">
      <c r="B198" s="31" t="s">
        <v>0</v>
      </c>
      <c r="C198" s="25"/>
      <c r="D198" s="29"/>
      <c r="E198" s="30">
        <f>D197</f>
        <v>600000</v>
      </c>
    </row>
    <row r="199" spans="1:5" x14ac:dyDescent="0.2">
      <c r="A199" s="95"/>
      <c r="B199" s="19"/>
      <c r="C199" s="20"/>
      <c r="D199" s="26"/>
      <c r="E199" s="22"/>
    </row>
    <row r="200" spans="1:5" ht="17" x14ac:dyDescent="0.2">
      <c r="A200" s="94" t="s">
        <v>362</v>
      </c>
      <c r="B200" s="33" t="s">
        <v>217</v>
      </c>
      <c r="C200" s="34"/>
      <c r="D200" s="14"/>
      <c r="E200" s="18"/>
    </row>
    <row r="201" spans="1:5" ht="34.25" customHeight="1" x14ac:dyDescent="0.2">
      <c r="A201" s="95"/>
      <c r="B201" s="196" t="s">
        <v>218</v>
      </c>
      <c r="C201" s="196"/>
      <c r="D201" s="196"/>
      <c r="E201" s="197"/>
    </row>
    <row r="202" spans="1:5" s="3" customFormat="1" ht="17" x14ac:dyDescent="0.2">
      <c r="A202" s="47"/>
      <c r="B202" s="85" t="s">
        <v>321</v>
      </c>
      <c r="C202" s="68" t="s">
        <v>195</v>
      </c>
      <c r="D202" s="44">
        <f>5000*120</f>
        <v>600000</v>
      </c>
      <c r="E202" s="44"/>
    </row>
    <row r="203" spans="1:5" ht="17" x14ac:dyDescent="0.2">
      <c r="B203" s="31" t="s">
        <v>0</v>
      </c>
      <c r="C203" s="25"/>
      <c r="D203" s="29"/>
      <c r="E203" s="30">
        <f>D202</f>
        <v>600000</v>
      </c>
    </row>
    <row r="204" spans="1:5" x14ac:dyDescent="0.2">
      <c r="A204" s="95"/>
      <c r="B204" s="19"/>
      <c r="C204" s="20"/>
      <c r="D204" s="26"/>
      <c r="E204" s="22"/>
    </row>
    <row r="205" spans="1:5" ht="15" customHeight="1" x14ac:dyDescent="0.2">
      <c r="A205" s="94" t="s">
        <v>193</v>
      </c>
      <c r="B205" s="198" t="s">
        <v>143</v>
      </c>
      <c r="C205" s="198"/>
      <c r="D205" s="29"/>
      <c r="E205" s="29"/>
    </row>
    <row r="206" spans="1:5" ht="33.5" customHeight="1" x14ac:dyDescent="0.2">
      <c r="A206" s="19"/>
      <c r="B206" s="217" t="s">
        <v>144</v>
      </c>
      <c r="C206" s="217"/>
      <c r="D206" s="217"/>
      <c r="E206" s="218"/>
    </row>
    <row r="207" spans="1:5" s="3" customFormat="1" ht="17" x14ac:dyDescent="0.2">
      <c r="A207" s="47"/>
      <c r="B207" s="28" t="s">
        <v>342</v>
      </c>
      <c r="C207" s="46"/>
      <c r="D207" s="44">
        <f>5000000+1000000</f>
        <v>6000000</v>
      </c>
      <c r="E207" s="45"/>
    </row>
    <row r="208" spans="1:5" s="3" customFormat="1" ht="17" x14ac:dyDescent="0.2">
      <c r="A208" s="47"/>
      <c r="B208" s="28" t="s">
        <v>487</v>
      </c>
      <c r="C208" s="46"/>
      <c r="D208" s="44">
        <f>45000*7</f>
        <v>315000</v>
      </c>
      <c r="E208" s="45"/>
    </row>
    <row r="209" spans="1:47" ht="17" x14ac:dyDescent="0.2">
      <c r="B209" s="25" t="s">
        <v>0</v>
      </c>
      <c r="D209" s="29"/>
      <c r="E209" s="18">
        <f>SUM(D207:D208)</f>
        <v>6315000</v>
      </c>
    </row>
    <row r="210" spans="1:47" x14ac:dyDescent="0.2">
      <c r="A210" s="19"/>
      <c r="B210" s="19"/>
      <c r="C210" s="20"/>
      <c r="D210" s="26"/>
      <c r="E210" s="22"/>
    </row>
    <row r="211" spans="1:47" ht="17" x14ac:dyDescent="0.2">
      <c r="A211" s="94" t="s">
        <v>228</v>
      </c>
      <c r="B211" s="42" t="s">
        <v>122</v>
      </c>
      <c r="D211" s="29"/>
      <c r="E211" s="29"/>
    </row>
    <row r="212" spans="1:47" ht="19.25" customHeight="1" x14ac:dyDescent="0.2">
      <c r="A212" s="19"/>
      <c r="B212" s="195" t="s">
        <v>161</v>
      </c>
      <c r="C212" s="234"/>
      <c r="D212" s="234"/>
      <c r="E212" s="234"/>
    </row>
    <row r="213" spans="1:47" s="3" customFormat="1" ht="17" x14ac:dyDescent="0.2">
      <c r="A213" s="47"/>
      <c r="B213" s="69" t="s">
        <v>141</v>
      </c>
      <c r="C213" s="68" t="s">
        <v>416</v>
      </c>
      <c r="D213" s="45">
        <v>400000</v>
      </c>
      <c r="E213" s="45"/>
    </row>
    <row r="214" spans="1:47" ht="17" x14ac:dyDescent="0.2">
      <c r="B214" s="31" t="s">
        <v>0</v>
      </c>
      <c r="D214" s="29"/>
      <c r="E214" s="30">
        <f>SUM(D213:D213)</f>
        <v>400000</v>
      </c>
    </row>
    <row r="215" spans="1:47" x14ac:dyDescent="0.2">
      <c r="A215" s="95"/>
      <c r="B215" s="63"/>
      <c r="C215" s="63"/>
      <c r="D215" s="32"/>
      <c r="E215" s="32"/>
    </row>
    <row r="216" spans="1:47" ht="17" x14ac:dyDescent="0.2">
      <c r="B216" s="13"/>
      <c r="C216" s="23" t="s">
        <v>25</v>
      </c>
      <c r="D216" s="82"/>
      <c r="E216" s="81">
        <f>+E43+E59+E81+E97+E112+E127+E136+E146+E153+E158+E166+E172+E181+E188+E193+E198+E203+E209+E214</f>
        <v>72957400</v>
      </c>
    </row>
    <row r="217" spans="1:47" ht="17" x14ac:dyDescent="0.2">
      <c r="A217" s="94">
        <v>3</v>
      </c>
      <c r="B217" s="24" t="s">
        <v>159</v>
      </c>
      <c r="D217" s="29"/>
      <c r="E217" s="29"/>
    </row>
    <row r="218" spans="1:47" x14ac:dyDescent="0.2">
      <c r="B218" s="24"/>
      <c r="D218" s="29"/>
      <c r="E218" s="29"/>
    </row>
    <row r="219" spans="1:47" ht="17" x14ac:dyDescent="0.2">
      <c r="A219" s="94" t="s">
        <v>179</v>
      </c>
      <c r="B219" s="42" t="s">
        <v>126</v>
      </c>
      <c r="D219" s="29"/>
      <c r="E219" s="29"/>
    </row>
    <row r="220" spans="1:47" ht="43.25" customHeight="1" x14ac:dyDescent="0.2">
      <c r="A220" s="19"/>
      <c r="B220" s="230" t="s">
        <v>118</v>
      </c>
      <c r="C220" s="230"/>
      <c r="D220" s="230"/>
      <c r="E220" s="230"/>
    </row>
    <row r="221" spans="1:47" ht="18" customHeight="1" x14ac:dyDescent="0.2">
      <c r="A221" s="72"/>
      <c r="B221" s="16" t="s">
        <v>436</v>
      </c>
      <c r="D221" s="14">
        <v>1000000</v>
      </c>
      <c r="E221" s="29"/>
    </row>
    <row r="222" spans="1:47" ht="17" x14ac:dyDescent="0.2">
      <c r="B222" s="31" t="s">
        <v>0</v>
      </c>
      <c r="D222" s="29"/>
      <c r="E222" s="30">
        <f>D221</f>
        <v>1000000</v>
      </c>
    </row>
    <row r="223" spans="1:47" x14ac:dyDescent="0.2">
      <c r="A223" s="19"/>
      <c r="B223" s="19"/>
      <c r="C223" s="20"/>
      <c r="D223" s="26"/>
      <c r="E223" s="22"/>
    </row>
    <row r="224" spans="1:47" s="3" customFormat="1" ht="17" x14ac:dyDescent="0.2">
      <c r="A224" s="92" t="s">
        <v>180</v>
      </c>
      <c r="B224" s="35" t="s">
        <v>135</v>
      </c>
      <c r="C224" s="36"/>
      <c r="D224" s="84"/>
      <c r="E224" s="84"/>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1:47" s="4" customFormat="1" ht="18" customHeight="1" x14ac:dyDescent="0.2">
      <c r="A225" s="93"/>
      <c r="B225" s="195" t="s">
        <v>136</v>
      </c>
      <c r="C225" s="195"/>
      <c r="D225" s="195"/>
      <c r="E225" s="19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s="3" customFormat="1" x14ac:dyDescent="0.2">
      <c r="A226" s="47"/>
      <c r="B226" s="223" t="s">
        <v>454</v>
      </c>
      <c r="C226" s="224"/>
      <c r="D226" s="44">
        <v>2000000</v>
      </c>
      <c r="E226" s="144"/>
    </row>
    <row r="227" spans="1:47" s="3" customFormat="1" ht="17" x14ac:dyDescent="0.2">
      <c r="A227" s="92"/>
      <c r="B227" s="85" t="s">
        <v>137</v>
      </c>
      <c r="C227" s="85"/>
      <c r="D227" s="44">
        <v>600000</v>
      </c>
      <c r="E227" s="67"/>
    </row>
    <row r="228" spans="1:47" s="3" customFormat="1" ht="17" x14ac:dyDescent="0.2">
      <c r="A228" s="92"/>
      <c r="B228" s="31" t="s">
        <v>0</v>
      </c>
      <c r="C228" s="7"/>
      <c r="D228" s="74"/>
      <c r="E228" s="30">
        <f>SUM(D226:D227)</f>
        <v>2600000</v>
      </c>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s="3" customFormat="1" x14ac:dyDescent="0.2">
      <c r="A229" s="93"/>
      <c r="B229" s="61"/>
      <c r="C229" s="61"/>
      <c r="D229" s="73"/>
      <c r="E229" s="7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s="3" customFormat="1" ht="17" x14ac:dyDescent="0.2">
      <c r="A230" s="92" t="s">
        <v>181</v>
      </c>
      <c r="B230" s="35" t="s">
        <v>485</v>
      </c>
      <c r="C230" s="36"/>
      <c r="D230" s="84"/>
      <c r="E230" s="84"/>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s="3" customFormat="1" ht="39.5" customHeight="1" x14ac:dyDescent="0.2">
      <c r="A231" s="19"/>
      <c r="B231" s="195" t="s">
        <v>233</v>
      </c>
      <c r="C231" s="195"/>
      <c r="D231" s="195"/>
      <c r="E231" s="19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s="3" customFormat="1" ht="17" x14ac:dyDescent="0.2">
      <c r="A232" s="47"/>
      <c r="B232" s="85" t="s">
        <v>138</v>
      </c>
      <c r="C232" s="85"/>
      <c r="D232" s="44">
        <v>1000000</v>
      </c>
      <c r="E232" s="145"/>
    </row>
    <row r="233" spans="1:47" s="3" customFormat="1" ht="17" x14ac:dyDescent="0.2">
      <c r="A233" s="92"/>
      <c r="B233" s="31" t="s">
        <v>0</v>
      </c>
      <c r="C233" s="7"/>
      <c r="D233" s="74"/>
      <c r="E233" s="30">
        <f>SUM(D232:D232)</f>
        <v>1000000</v>
      </c>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47" s="3" customFormat="1" x14ac:dyDescent="0.2">
      <c r="A234" s="19"/>
      <c r="B234" s="222"/>
      <c r="C234" s="222"/>
      <c r="D234" s="222"/>
      <c r="E234" s="222"/>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s="3" customFormat="1" ht="17" x14ac:dyDescent="0.2">
      <c r="A235" s="92" t="s">
        <v>182</v>
      </c>
      <c r="B235" s="33" t="s">
        <v>167</v>
      </c>
      <c r="C235" s="7"/>
      <c r="D235" s="74"/>
      <c r="E235" s="30"/>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s="3" customFormat="1" ht="35.75" customHeight="1" x14ac:dyDescent="0.2">
      <c r="A236" s="19"/>
      <c r="B236" s="195" t="s">
        <v>166</v>
      </c>
      <c r="C236" s="195"/>
      <c r="D236" s="195"/>
      <c r="E236" s="19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s="3" customFormat="1" ht="17" x14ac:dyDescent="0.2">
      <c r="A237" s="47"/>
      <c r="B237" s="85" t="s">
        <v>165</v>
      </c>
      <c r="C237" s="37"/>
      <c r="D237" s="59">
        <f>400000/2</f>
        <v>200000</v>
      </c>
      <c r="E237" s="87"/>
    </row>
    <row r="238" spans="1:47" s="3" customFormat="1" ht="18.5" customHeight="1" x14ac:dyDescent="0.2">
      <c r="A238" s="47"/>
      <c r="B238" s="85" t="s">
        <v>220</v>
      </c>
      <c r="C238" s="37"/>
      <c r="D238" s="59">
        <v>150000</v>
      </c>
      <c r="E238" s="45"/>
    </row>
    <row r="239" spans="1:47" s="3" customFormat="1" ht="17" x14ac:dyDescent="0.2">
      <c r="A239" s="47"/>
      <c r="B239" s="85" t="s">
        <v>221</v>
      </c>
      <c r="C239" s="37"/>
      <c r="D239" s="59">
        <v>50000</v>
      </c>
      <c r="E239" s="45"/>
    </row>
    <row r="240" spans="1:47" s="3" customFormat="1" ht="17" x14ac:dyDescent="0.2">
      <c r="A240" s="47"/>
      <c r="B240" s="85" t="s">
        <v>486</v>
      </c>
      <c r="C240" s="37"/>
      <c r="D240" s="59">
        <f>200000+300000</f>
        <v>500000</v>
      </c>
      <c r="E240" s="45"/>
    </row>
    <row r="241" spans="1:47" s="3" customFormat="1" ht="17" x14ac:dyDescent="0.2">
      <c r="A241" s="92"/>
      <c r="B241" s="31" t="s">
        <v>0</v>
      </c>
      <c r="C241" s="7"/>
      <c r="D241" s="74"/>
      <c r="E241" s="30">
        <f>SUM(D237:D240)</f>
        <v>900000</v>
      </c>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1:47" s="3" customFormat="1" x14ac:dyDescent="0.2">
      <c r="A242" s="19"/>
      <c r="B242" s="222"/>
      <c r="C242" s="222"/>
      <c r="D242" s="222"/>
      <c r="E242" s="222"/>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ht="17" x14ac:dyDescent="0.2">
      <c r="A243" s="94" t="s">
        <v>183</v>
      </c>
      <c r="B243" s="42" t="s">
        <v>227</v>
      </c>
      <c r="C243" s="42"/>
      <c r="D243" s="29"/>
      <c r="E243" s="30"/>
    </row>
    <row r="244" spans="1:47" ht="52.25" customHeight="1" x14ac:dyDescent="0.2">
      <c r="A244" s="19"/>
      <c r="B244" s="196" t="s">
        <v>226</v>
      </c>
      <c r="C244" s="196"/>
      <c r="D244" s="196"/>
      <c r="E244" s="199"/>
    </row>
    <row r="245" spans="1:47" s="3" customFormat="1" ht="17" x14ac:dyDescent="0.2">
      <c r="A245" s="47"/>
      <c r="B245" s="67" t="s">
        <v>109</v>
      </c>
      <c r="C245" s="28" t="s">
        <v>225</v>
      </c>
      <c r="D245" s="45">
        <v>120000</v>
      </c>
      <c r="E245" s="45"/>
    </row>
    <row r="246" spans="1:47" s="3" customFormat="1" x14ac:dyDescent="0.2">
      <c r="A246" s="92"/>
      <c r="B246" s="60" t="s">
        <v>0</v>
      </c>
      <c r="C246" s="55"/>
      <c r="D246" s="45"/>
      <c r="E246" s="86">
        <f>SUM(D245:D245)</f>
        <v>120000</v>
      </c>
    </row>
    <row r="247" spans="1:47" s="3" customFormat="1" x14ac:dyDescent="0.2">
      <c r="A247" s="222"/>
      <c r="B247" s="222"/>
      <c r="C247" s="222"/>
      <c r="D247" s="222"/>
      <c r="E247" s="61"/>
    </row>
    <row r="248" spans="1:47" ht="17" x14ac:dyDescent="0.2">
      <c r="A248" s="94" t="s">
        <v>184</v>
      </c>
      <c r="B248" s="42" t="s">
        <v>123</v>
      </c>
      <c r="C248" s="42"/>
      <c r="D248" s="29"/>
      <c r="E248" s="30"/>
    </row>
    <row r="249" spans="1:47" ht="65" customHeight="1" x14ac:dyDescent="0.2">
      <c r="A249" s="19"/>
      <c r="B249" s="196" t="s">
        <v>108</v>
      </c>
      <c r="C249" s="196"/>
      <c r="D249" s="196"/>
      <c r="E249" s="199"/>
    </row>
    <row r="250" spans="1:47" s="3" customFormat="1" ht="17" x14ac:dyDescent="0.2">
      <c r="A250" s="47"/>
      <c r="B250" s="67" t="s">
        <v>109</v>
      </c>
      <c r="C250" s="28" t="s">
        <v>225</v>
      </c>
      <c r="D250" s="45">
        <v>120000</v>
      </c>
      <c r="E250" s="45"/>
    </row>
    <row r="251" spans="1:47" s="3" customFormat="1" ht="17" x14ac:dyDescent="0.2">
      <c r="A251" s="47"/>
      <c r="B251" s="37" t="s">
        <v>110</v>
      </c>
      <c r="C251" s="55" t="s">
        <v>197</v>
      </c>
      <c r="D251" s="45">
        <v>30000</v>
      </c>
      <c r="E251" s="45"/>
    </row>
    <row r="252" spans="1:47" ht="17" x14ac:dyDescent="0.2">
      <c r="B252" s="25" t="s">
        <v>0</v>
      </c>
      <c r="D252" s="29"/>
      <c r="E252" s="18">
        <f>SUM(D250:D251)</f>
        <v>150000</v>
      </c>
    </row>
    <row r="253" spans="1:47" s="3" customFormat="1" x14ac:dyDescent="0.2">
      <c r="A253" s="222"/>
      <c r="B253" s="222"/>
      <c r="C253" s="222"/>
      <c r="D253" s="222"/>
      <c r="E253" s="61"/>
    </row>
    <row r="254" spans="1:47" ht="17" x14ac:dyDescent="0.2">
      <c r="A254" s="94" t="s">
        <v>185</v>
      </c>
      <c r="B254" s="42" t="s">
        <v>365</v>
      </c>
      <c r="D254" s="29"/>
      <c r="E254" s="29"/>
    </row>
    <row r="255" spans="1:47" ht="20" customHeight="1" x14ac:dyDescent="0.2">
      <c r="A255" s="19"/>
      <c r="B255" s="195" t="s">
        <v>232</v>
      </c>
      <c r="C255" s="234"/>
      <c r="D255" s="234"/>
      <c r="E255" s="234"/>
    </row>
    <row r="256" spans="1:47" s="3" customFormat="1" ht="17" x14ac:dyDescent="0.2">
      <c r="A256" s="47"/>
      <c r="B256" s="69" t="s">
        <v>366</v>
      </c>
      <c r="C256" s="46" t="s">
        <v>442</v>
      </c>
      <c r="D256" s="45">
        <v>500000</v>
      </c>
      <c r="E256" s="45"/>
    </row>
    <row r="257" spans="1:5" ht="17" x14ac:dyDescent="0.2">
      <c r="B257" s="25" t="s">
        <v>0</v>
      </c>
      <c r="D257" s="29"/>
      <c r="E257" s="18">
        <f>SUM(D256)</f>
        <v>500000</v>
      </c>
    </row>
    <row r="258" spans="1:5" s="3" customFormat="1" x14ac:dyDescent="0.2">
      <c r="A258" s="222"/>
      <c r="B258" s="222"/>
      <c r="C258" s="222"/>
      <c r="D258" s="222"/>
      <c r="E258" s="61"/>
    </row>
    <row r="259" spans="1:5" ht="17" x14ac:dyDescent="0.2">
      <c r="A259" s="94" t="s">
        <v>186</v>
      </c>
      <c r="B259" s="42" t="s">
        <v>132</v>
      </c>
      <c r="D259" s="29"/>
      <c r="E259" s="29"/>
    </row>
    <row r="260" spans="1:5" ht="71" customHeight="1" x14ac:dyDescent="0.2">
      <c r="A260" s="19"/>
      <c r="B260" s="195" t="s">
        <v>131</v>
      </c>
      <c r="C260" s="195"/>
      <c r="D260" s="195"/>
      <c r="E260" s="195"/>
    </row>
    <row r="261" spans="1:5" s="3" customFormat="1" ht="21.5" customHeight="1" x14ac:dyDescent="0.2">
      <c r="A261" s="47"/>
      <c r="B261" s="28" t="s">
        <v>247</v>
      </c>
      <c r="C261" s="64" t="s">
        <v>509</v>
      </c>
      <c r="D261" s="44">
        <f>2000000+200000</f>
        <v>2200000</v>
      </c>
      <c r="E261" s="45"/>
    </row>
    <row r="262" spans="1:5" ht="17" x14ac:dyDescent="0.2">
      <c r="B262" s="25" t="s">
        <v>0</v>
      </c>
      <c r="D262" s="29"/>
      <c r="E262" s="18">
        <f>SUM(D261:D261)</f>
        <v>2200000</v>
      </c>
    </row>
    <row r="263" spans="1:5" x14ac:dyDescent="0.2">
      <c r="A263" s="19"/>
      <c r="B263" s="19"/>
      <c r="C263" s="20"/>
      <c r="D263" s="26"/>
      <c r="E263" s="22"/>
    </row>
    <row r="264" spans="1:5" s="2" customFormat="1" x14ac:dyDescent="0.2">
      <c r="A264" s="94" t="s">
        <v>187</v>
      </c>
      <c r="B264" s="5" t="s">
        <v>153</v>
      </c>
      <c r="C264" s="42"/>
      <c r="D264" s="29"/>
      <c r="E264" s="30"/>
    </row>
    <row r="265" spans="1:5" s="2" customFormat="1" ht="77.75" customHeight="1" x14ac:dyDescent="0.2">
      <c r="A265" s="19"/>
      <c r="B265" s="235" t="s">
        <v>348</v>
      </c>
      <c r="C265" s="236"/>
      <c r="D265" s="236"/>
      <c r="E265" s="236"/>
    </row>
    <row r="266" spans="1:5" s="3" customFormat="1" ht="20.5" customHeight="1" x14ac:dyDescent="0.2">
      <c r="A266" s="47"/>
      <c r="B266" s="28" t="s">
        <v>154</v>
      </c>
      <c r="C266" s="28" t="s">
        <v>455</v>
      </c>
      <c r="D266" s="44">
        <f>4*500000</f>
        <v>2000000</v>
      </c>
      <c r="E266" s="45"/>
    </row>
    <row r="267" spans="1:5" s="2" customFormat="1" ht="17" x14ac:dyDescent="0.2">
      <c r="A267" s="94"/>
      <c r="B267" s="25" t="s">
        <v>0</v>
      </c>
      <c r="C267" s="42"/>
      <c r="D267" s="30"/>
      <c r="E267" s="30">
        <f>SUM(D266:D266)</f>
        <v>2000000</v>
      </c>
    </row>
    <row r="268" spans="1:5" x14ac:dyDescent="0.2">
      <c r="A268" s="19"/>
      <c r="B268" s="19"/>
      <c r="C268" s="20"/>
      <c r="D268" s="26"/>
      <c r="E268" s="22"/>
    </row>
    <row r="269" spans="1:5" ht="17" x14ac:dyDescent="0.2">
      <c r="A269" s="94" t="s">
        <v>234</v>
      </c>
      <c r="B269" s="42" t="s">
        <v>124</v>
      </c>
      <c r="C269" s="42"/>
      <c r="D269" s="16"/>
      <c r="E269" s="16"/>
    </row>
    <row r="270" spans="1:5" ht="35" customHeight="1" x14ac:dyDescent="0.2">
      <c r="A270" s="19"/>
      <c r="B270" s="195" t="s">
        <v>319</v>
      </c>
      <c r="C270" s="195"/>
      <c r="D270" s="195"/>
      <c r="E270" s="227"/>
    </row>
    <row r="271" spans="1:5" s="3" customFormat="1" ht="17" x14ac:dyDescent="0.2">
      <c r="A271" s="47"/>
      <c r="B271" s="28" t="s">
        <v>107</v>
      </c>
      <c r="C271" s="28"/>
      <c r="D271" s="45">
        <v>150000</v>
      </c>
      <c r="E271" s="45"/>
    </row>
    <row r="272" spans="1:5" ht="17" x14ac:dyDescent="0.2">
      <c r="B272" s="25" t="s">
        <v>0</v>
      </c>
      <c r="D272" s="16"/>
      <c r="E272" s="18">
        <f>SUM(D271:D271)</f>
        <v>150000</v>
      </c>
    </row>
    <row r="273" spans="1:5" x14ac:dyDescent="0.2">
      <c r="A273" s="19"/>
      <c r="B273" s="19"/>
      <c r="C273" s="20"/>
      <c r="D273" s="26"/>
      <c r="E273" s="22"/>
    </row>
    <row r="274" spans="1:5" ht="17" x14ac:dyDescent="0.2">
      <c r="A274" s="94" t="s">
        <v>244</v>
      </c>
      <c r="B274" s="42" t="s">
        <v>222</v>
      </c>
      <c r="C274" s="42"/>
      <c r="D274" s="16"/>
      <c r="E274" s="16"/>
    </row>
    <row r="275" spans="1:5" s="241" customFormat="1" ht="82.25" customHeight="1" x14ac:dyDescent="0.2">
      <c r="A275" s="238"/>
      <c r="B275" s="239" t="s">
        <v>460</v>
      </c>
      <c r="C275" s="239"/>
      <c r="D275" s="239"/>
      <c r="E275" s="240"/>
    </row>
    <row r="276" spans="1:5" s="246" customFormat="1" x14ac:dyDescent="0.2">
      <c r="A276" s="242"/>
      <c r="B276" s="242" t="s">
        <v>462</v>
      </c>
      <c r="C276" s="243"/>
      <c r="D276" s="244">
        <v>1000000</v>
      </c>
      <c r="E276" s="245"/>
    </row>
    <row r="277" spans="1:5" s="246" customFormat="1" x14ac:dyDescent="0.2">
      <c r="A277" s="242"/>
      <c r="B277" s="242" t="s">
        <v>461</v>
      </c>
      <c r="C277" s="243"/>
      <c r="D277" s="244">
        <v>1000000</v>
      </c>
      <c r="E277" s="245"/>
    </row>
    <row r="278" spans="1:5" s="246" customFormat="1" x14ac:dyDescent="0.2">
      <c r="A278" s="242"/>
      <c r="B278" s="242" t="s">
        <v>463</v>
      </c>
      <c r="C278" s="243"/>
      <c r="D278" s="244">
        <v>1000000</v>
      </c>
      <c r="E278" s="245"/>
    </row>
    <row r="279" spans="1:5" s="246" customFormat="1" x14ac:dyDescent="0.2">
      <c r="A279" s="242"/>
      <c r="B279" s="242" t="s">
        <v>466</v>
      </c>
      <c r="C279" s="243"/>
      <c r="D279" s="244">
        <v>1000000</v>
      </c>
      <c r="E279" s="245"/>
    </row>
    <row r="280" spans="1:5" s="246" customFormat="1" x14ac:dyDescent="0.2">
      <c r="A280" s="242"/>
      <c r="B280" s="242" t="s">
        <v>465</v>
      </c>
      <c r="C280" s="243"/>
      <c r="D280" s="244">
        <v>1000000</v>
      </c>
      <c r="E280" s="245"/>
    </row>
    <row r="281" spans="1:5" s="246" customFormat="1" x14ac:dyDescent="0.2">
      <c r="A281" s="242"/>
      <c r="B281" s="242" t="s">
        <v>464</v>
      </c>
      <c r="C281" s="243"/>
      <c r="D281" s="244">
        <v>1000000</v>
      </c>
      <c r="E281" s="245"/>
    </row>
    <row r="282" spans="1:5" s="246" customFormat="1" x14ac:dyDescent="0.2">
      <c r="A282" s="247"/>
      <c r="B282" s="247" t="s">
        <v>470</v>
      </c>
      <c r="C282" s="248"/>
      <c r="D282" s="249">
        <v>1000000</v>
      </c>
      <c r="E282" s="245"/>
    </row>
    <row r="283" spans="1:5" s="246" customFormat="1" ht="17" x14ac:dyDescent="0.2">
      <c r="A283" s="250"/>
      <c r="B283" s="251" t="s">
        <v>0</v>
      </c>
      <c r="C283" s="252"/>
      <c r="D283" s="252"/>
      <c r="E283" s="253">
        <f>SUM(D276:D282)</f>
        <v>7000000</v>
      </c>
    </row>
    <row r="284" spans="1:5" s="96" customFormat="1" ht="17" x14ac:dyDescent="0.2">
      <c r="A284" s="94" t="s">
        <v>188</v>
      </c>
      <c r="B284" s="42" t="s">
        <v>147</v>
      </c>
      <c r="C284" s="42"/>
      <c r="D284" s="29"/>
      <c r="E284" s="30"/>
    </row>
    <row r="285" spans="1:5" s="96" customFormat="1" ht="101" customHeight="1" x14ac:dyDescent="0.2">
      <c r="A285" s="19"/>
      <c r="B285" s="230" t="s">
        <v>148</v>
      </c>
      <c r="C285" s="230"/>
      <c r="D285" s="230"/>
      <c r="E285" s="231"/>
    </row>
    <row r="286" spans="1:5" s="176" customFormat="1" ht="17" x14ac:dyDescent="0.2">
      <c r="A286" s="47"/>
      <c r="B286" s="67" t="s">
        <v>223</v>
      </c>
      <c r="C286" s="28"/>
      <c r="D286" s="45">
        <f>7000000+1000000</f>
        <v>8000000</v>
      </c>
      <c r="E286" s="44"/>
    </row>
    <row r="287" spans="1:5" s="58" customFormat="1" ht="17" x14ac:dyDescent="0.2">
      <c r="A287" s="92"/>
      <c r="B287" s="51" t="s">
        <v>0</v>
      </c>
      <c r="C287" s="46"/>
      <c r="D287" s="45"/>
      <c r="E287" s="54">
        <f>+D286</f>
        <v>8000000</v>
      </c>
    </row>
    <row r="288" spans="1:5" x14ac:dyDescent="0.2">
      <c r="A288" s="19"/>
      <c r="B288" s="19"/>
      <c r="C288" s="20"/>
      <c r="D288" s="26"/>
      <c r="E288" s="22"/>
    </row>
    <row r="289" spans="1:5" ht="21" customHeight="1" x14ac:dyDescent="0.2">
      <c r="A289" s="51" t="s">
        <v>189</v>
      </c>
      <c r="B289" s="53" t="s">
        <v>246</v>
      </c>
      <c r="C289" s="62"/>
      <c r="D289" s="45"/>
      <c r="E289" s="52"/>
    </row>
    <row r="290" spans="1:5" ht="24" customHeight="1" x14ac:dyDescent="0.2">
      <c r="A290" s="19"/>
      <c r="B290" s="200" t="s">
        <v>364</v>
      </c>
      <c r="C290" s="229"/>
      <c r="D290" s="229"/>
      <c r="E290" s="229"/>
    </row>
    <row r="291" spans="1:5" s="3" customFormat="1" ht="17" x14ac:dyDescent="0.2">
      <c r="A291" s="104"/>
      <c r="B291" s="67" t="s">
        <v>223</v>
      </c>
      <c r="C291" s="28"/>
      <c r="D291" s="45">
        <v>8000000</v>
      </c>
      <c r="E291" s="45"/>
    </row>
    <row r="292" spans="1:5" ht="17" x14ac:dyDescent="0.2">
      <c r="A292" s="51"/>
      <c r="C292" s="62" t="s">
        <v>224</v>
      </c>
      <c r="D292" s="45"/>
      <c r="E292" s="52">
        <f>SUM(D291:D291)</f>
        <v>8000000</v>
      </c>
    </row>
    <row r="293" spans="1:5" x14ac:dyDescent="0.2">
      <c r="A293" s="19"/>
      <c r="B293" s="19"/>
      <c r="C293" s="20"/>
      <c r="D293" s="26"/>
      <c r="E293" s="22"/>
    </row>
    <row r="294" spans="1:5" s="3" customFormat="1" ht="17" x14ac:dyDescent="0.2">
      <c r="A294" s="51">
        <v>3.14</v>
      </c>
      <c r="B294" s="53" t="s">
        <v>323</v>
      </c>
      <c r="C294" s="62"/>
      <c r="D294" s="59"/>
      <c r="E294" s="52"/>
    </row>
    <row r="295" spans="1:5" ht="41.75" customHeight="1" x14ac:dyDescent="0.2">
      <c r="A295" s="19"/>
      <c r="B295" s="200" t="s">
        <v>322</v>
      </c>
      <c r="C295" s="237"/>
      <c r="D295" s="237"/>
      <c r="E295" s="237"/>
    </row>
    <row r="296" spans="1:5" s="170" customFormat="1" ht="19.25" customHeight="1" x14ac:dyDescent="0.2">
      <c r="A296" s="104"/>
      <c r="B296" s="67" t="s">
        <v>223</v>
      </c>
      <c r="C296" s="28"/>
      <c r="D296" s="45">
        <f>500000+100000</f>
        <v>600000</v>
      </c>
      <c r="E296" s="87"/>
    </row>
    <row r="297" spans="1:5" s="3" customFormat="1" ht="17" x14ac:dyDescent="0.2">
      <c r="A297" s="51"/>
      <c r="B297" s="7"/>
      <c r="C297" s="62" t="s">
        <v>224</v>
      </c>
      <c r="D297" s="45"/>
      <c r="E297" s="52">
        <f>SUM(D296:D296)</f>
        <v>600000</v>
      </c>
    </row>
    <row r="298" spans="1:5" x14ac:dyDescent="0.2">
      <c r="A298" s="19"/>
      <c r="B298" s="19"/>
      <c r="C298" s="20"/>
      <c r="D298" s="21"/>
      <c r="E298" s="22"/>
    </row>
    <row r="299" spans="1:5" s="3" customFormat="1" ht="17" x14ac:dyDescent="0.2">
      <c r="A299" s="51" t="s">
        <v>190</v>
      </c>
      <c r="B299" s="53" t="s">
        <v>325</v>
      </c>
      <c r="C299" s="62"/>
      <c r="D299" s="59"/>
      <c r="E299" s="52"/>
    </row>
    <row r="300" spans="1:5" ht="41.75" customHeight="1" x14ac:dyDescent="0.2">
      <c r="A300" s="19"/>
      <c r="B300" s="200" t="s">
        <v>324</v>
      </c>
      <c r="C300" s="237"/>
      <c r="D300" s="237"/>
      <c r="E300" s="237"/>
    </row>
    <row r="301" spans="1:5" s="170" customFormat="1" ht="19.25" customHeight="1" x14ac:dyDescent="0.2">
      <c r="A301" s="104"/>
      <c r="B301" s="67" t="s">
        <v>223</v>
      </c>
      <c r="C301" s="28"/>
      <c r="D301" s="45">
        <f>500000+100000</f>
        <v>600000</v>
      </c>
      <c r="E301" s="87"/>
    </row>
    <row r="302" spans="1:5" s="3" customFormat="1" ht="17" x14ac:dyDescent="0.2">
      <c r="A302" s="51"/>
      <c r="B302" s="7"/>
      <c r="C302" s="62" t="s">
        <v>224</v>
      </c>
      <c r="D302" s="45"/>
      <c r="E302" s="52">
        <f>SUM(D301:D301)</f>
        <v>600000</v>
      </c>
    </row>
    <row r="303" spans="1:5" x14ac:dyDescent="0.2">
      <c r="A303" s="19"/>
      <c r="B303" s="19"/>
      <c r="C303" s="20"/>
      <c r="D303" s="21"/>
      <c r="E303" s="22"/>
    </row>
    <row r="304" spans="1:5" ht="17" x14ac:dyDescent="0.2">
      <c r="B304" s="27"/>
      <c r="C304" s="38" t="s">
        <v>163</v>
      </c>
      <c r="D304" s="39"/>
      <c r="E304" s="40">
        <f>E222+E228+E233+E241+E246+E252+E257+E262+E267+E272+E283+E287+E292+E297+E302</f>
        <v>34820000</v>
      </c>
    </row>
    <row r="305" spans="1:5" ht="21" customHeight="1" x14ac:dyDescent="0.2">
      <c r="A305" s="51">
        <v>4</v>
      </c>
      <c r="B305" s="53" t="s">
        <v>390</v>
      </c>
      <c r="C305" s="62"/>
      <c r="D305" s="45"/>
      <c r="E305" s="52"/>
    </row>
    <row r="306" spans="1:5" ht="146" customHeight="1" x14ac:dyDescent="0.2">
      <c r="A306" s="19"/>
      <c r="B306" s="200" t="s">
        <v>396</v>
      </c>
      <c r="C306" s="229"/>
      <c r="D306" s="229"/>
      <c r="E306" s="229"/>
    </row>
    <row r="307" spans="1:5" ht="17" customHeight="1" x14ac:dyDescent="0.2">
      <c r="B307" s="94" t="s">
        <v>262</v>
      </c>
      <c r="C307" s="94"/>
      <c r="D307" s="13"/>
      <c r="E307" s="7"/>
    </row>
    <row r="308" spans="1:5" ht="17" customHeight="1" x14ac:dyDescent="0.2">
      <c r="A308" s="19"/>
      <c r="B308" s="195" t="s">
        <v>372</v>
      </c>
      <c r="C308" s="195"/>
      <c r="D308" s="195"/>
      <c r="E308" s="233"/>
    </row>
    <row r="309" spans="1:5" s="3" customFormat="1" ht="17" customHeight="1" x14ac:dyDescent="0.2">
      <c r="A309" s="47"/>
      <c r="B309" s="37" t="s">
        <v>373</v>
      </c>
      <c r="C309" s="28" t="s">
        <v>374</v>
      </c>
      <c r="D309" s="184">
        <v>43000</v>
      </c>
      <c r="E309" s="184"/>
    </row>
    <row r="310" spans="1:5" s="3" customFormat="1" ht="17" customHeight="1" x14ac:dyDescent="0.2">
      <c r="A310" s="47"/>
      <c r="B310" s="28" t="s">
        <v>375</v>
      </c>
      <c r="C310" s="28" t="s">
        <v>376</v>
      </c>
      <c r="D310" s="184">
        <v>173000</v>
      </c>
      <c r="E310" s="184"/>
    </row>
    <row r="311" spans="1:5" s="3" customFormat="1" ht="17" customHeight="1" x14ac:dyDescent="0.2">
      <c r="A311" s="47"/>
      <c r="B311" s="28" t="s">
        <v>377</v>
      </c>
      <c r="C311" s="28" t="s">
        <v>378</v>
      </c>
      <c r="D311" s="184">
        <f>250*2*120*4</f>
        <v>240000</v>
      </c>
      <c r="E311" s="184"/>
    </row>
    <row r="312" spans="1:5" s="3" customFormat="1" ht="17" customHeight="1" x14ac:dyDescent="0.2">
      <c r="A312" s="47"/>
      <c r="B312" s="28" t="s">
        <v>263</v>
      </c>
      <c r="C312" s="28" t="s">
        <v>379</v>
      </c>
      <c r="D312" s="184">
        <f>120*600*2</f>
        <v>144000</v>
      </c>
      <c r="E312" s="184"/>
    </row>
    <row r="313" spans="1:5" ht="17" customHeight="1" x14ac:dyDescent="0.2">
      <c r="A313" s="92"/>
      <c r="B313" s="192" t="s">
        <v>0</v>
      </c>
      <c r="C313" s="37"/>
      <c r="D313" s="37"/>
      <c r="E313" s="54">
        <f>SUM(D309:D312)</f>
        <v>600000</v>
      </c>
    </row>
    <row r="314" spans="1:5" ht="17" customHeight="1" x14ac:dyDescent="0.2">
      <c r="A314" s="19"/>
      <c r="B314" s="19"/>
      <c r="C314" s="20"/>
      <c r="D314" s="21"/>
      <c r="E314" s="22"/>
    </row>
    <row r="315" spans="1:5" ht="17" customHeight="1" x14ac:dyDescent="0.2">
      <c r="B315" s="94" t="s">
        <v>264</v>
      </c>
      <c r="D315" s="141"/>
      <c r="E315" s="150"/>
    </row>
    <row r="316" spans="1:5" ht="17" customHeight="1" x14ac:dyDescent="0.2">
      <c r="A316" s="19"/>
      <c r="B316" s="195" t="s">
        <v>367</v>
      </c>
      <c r="C316" s="195"/>
      <c r="D316" s="195"/>
      <c r="E316" s="195"/>
    </row>
    <row r="317" spans="1:5" s="3" customFormat="1" ht="17" customHeight="1" x14ac:dyDescent="0.2">
      <c r="A317" s="47"/>
      <c r="B317" s="47" t="s">
        <v>300</v>
      </c>
      <c r="C317" s="28" t="s">
        <v>368</v>
      </c>
      <c r="D317" s="44">
        <v>45000</v>
      </c>
      <c r="E317" s="142"/>
    </row>
    <row r="318" spans="1:5" s="3" customFormat="1" ht="17" customHeight="1" x14ac:dyDescent="0.2">
      <c r="A318" s="47"/>
      <c r="B318" s="28" t="s">
        <v>369</v>
      </c>
      <c r="C318" s="28" t="s">
        <v>370</v>
      </c>
      <c r="D318" s="184">
        <v>173000</v>
      </c>
      <c r="E318" s="142"/>
    </row>
    <row r="319" spans="1:5" s="3" customFormat="1" ht="17" customHeight="1" x14ac:dyDescent="0.2">
      <c r="A319" s="47"/>
      <c r="B319" s="37" t="s">
        <v>280</v>
      </c>
      <c r="C319" s="28" t="s">
        <v>417</v>
      </c>
      <c r="D319" s="44">
        <f>4*35000</f>
        <v>140000</v>
      </c>
      <c r="E319" s="142"/>
    </row>
    <row r="320" spans="1:5" s="3" customFormat="1" ht="17" customHeight="1" x14ac:dyDescent="0.2">
      <c r="A320" s="47"/>
      <c r="B320" s="37" t="s">
        <v>281</v>
      </c>
      <c r="C320" s="28" t="s">
        <v>283</v>
      </c>
      <c r="D320" s="44">
        <f>600*120</f>
        <v>72000</v>
      </c>
      <c r="E320" s="142"/>
    </row>
    <row r="321" spans="1:6" s="3" customFormat="1" ht="17" customHeight="1" x14ac:dyDescent="0.2">
      <c r="A321" s="47"/>
      <c r="B321" s="47" t="s">
        <v>265</v>
      </c>
      <c r="C321" s="28" t="s">
        <v>371</v>
      </c>
      <c r="D321" s="44">
        <f>10*4*50*120</f>
        <v>240000</v>
      </c>
      <c r="E321" s="142"/>
    </row>
    <row r="322" spans="1:6" ht="17" customHeight="1" x14ac:dyDescent="0.2">
      <c r="B322" s="17" t="s">
        <v>0</v>
      </c>
      <c r="D322" s="141"/>
      <c r="E322" s="18">
        <f>SUM(D317:D321)</f>
        <v>670000</v>
      </c>
    </row>
    <row r="323" spans="1:6" ht="17" customHeight="1" x14ac:dyDescent="0.2">
      <c r="A323" s="19"/>
      <c r="B323" s="19"/>
      <c r="C323" s="20"/>
      <c r="D323" s="21"/>
      <c r="E323" s="22"/>
    </row>
    <row r="324" spans="1:6" ht="17" customHeight="1" x14ac:dyDescent="0.2">
      <c r="B324" s="94" t="s">
        <v>266</v>
      </c>
      <c r="D324" s="141"/>
      <c r="E324" s="150"/>
    </row>
    <row r="325" spans="1:6" ht="17" customHeight="1" x14ac:dyDescent="0.2">
      <c r="A325" s="19"/>
      <c r="B325" s="195" t="s">
        <v>282</v>
      </c>
      <c r="C325" s="195"/>
      <c r="D325" s="195"/>
      <c r="E325" s="195"/>
    </row>
    <row r="326" spans="1:6" s="3" customFormat="1" ht="17" customHeight="1" x14ac:dyDescent="0.2">
      <c r="A326" s="47"/>
      <c r="B326" s="28" t="s">
        <v>380</v>
      </c>
      <c r="C326" s="28" t="s">
        <v>381</v>
      </c>
      <c r="D326" s="44">
        <f>300*6*120</f>
        <v>216000</v>
      </c>
      <c r="E326" s="45"/>
    </row>
    <row r="327" spans="1:6" s="3" customFormat="1" ht="17" customHeight="1" x14ac:dyDescent="0.2">
      <c r="A327" s="47"/>
      <c r="B327" s="28" t="s">
        <v>382</v>
      </c>
      <c r="C327" s="28" t="s">
        <v>383</v>
      </c>
      <c r="D327" s="44">
        <v>159000</v>
      </c>
      <c r="E327" s="45"/>
    </row>
    <row r="328" spans="1:6" s="3" customFormat="1" ht="17" customHeight="1" x14ac:dyDescent="0.2">
      <c r="A328" s="47"/>
      <c r="B328" s="28" t="s">
        <v>267</v>
      </c>
      <c r="C328" s="28" t="s">
        <v>385</v>
      </c>
      <c r="D328" s="44">
        <f>300*6*120</f>
        <v>216000</v>
      </c>
      <c r="E328" s="45"/>
      <c r="F328" s="191">
        <f>D328+D351+D352</f>
        <v>305000</v>
      </c>
    </row>
    <row r="329" spans="1:6" s="3" customFormat="1" ht="17" customHeight="1" x14ac:dyDescent="0.2">
      <c r="A329" s="47"/>
      <c r="B329" s="28" t="s">
        <v>268</v>
      </c>
      <c r="C329" s="28" t="s">
        <v>384</v>
      </c>
      <c r="D329" s="44">
        <f>600*4*120</f>
        <v>288000</v>
      </c>
      <c r="E329" s="45"/>
    </row>
    <row r="330" spans="1:6" s="3" customFormat="1" ht="17" customHeight="1" x14ac:dyDescent="0.2">
      <c r="A330" s="47"/>
      <c r="B330" s="28" t="s">
        <v>269</v>
      </c>
      <c r="C330" s="28" t="s">
        <v>386</v>
      </c>
      <c r="D330" s="44">
        <v>51000</v>
      </c>
      <c r="E330" s="45"/>
    </row>
    <row r="331" spans="1:6" s="3" customFormat="1" ht="17" customHeight="1" x14ac:dyDescent="0.2">
      <c r="A331" s="47"/>
      <c r="B331" s="28" t="s">
        <v>387</v>
      </c>
      <c r="C331" s="28" t="s">
        <v>388</v>
      </c>
      <c r="D331" s="44">
        <f>15*30*6*120</f>
        <v>324000</v>
      </c>
      <c r="E331" s="45"/>
    </row>
    <row r="332" spans="1:6" ht="17" customHeight="1" x14ac:dyDescent="0.2">
      <c r="B332" s="17" t="s">
        <v>0</v>
      </c>
      <c r="D332" s="141"/>
      <c r="E332" s="18">
        <f>SUM(D326:D331)</f>
        <v>1254000</v>
      </c>
    </row>
    <row r="333" spans="1:6" ht="17" customHeight="1" x14ac:dyDescent="0.2">
      <c r="A333" s="19"/>
      <c r="B333" s="19"/>
      <c r="C333" s="20"/>
      <c r="D333" s="21"/>
      <c r="E333" s="22"/>
    </row>
    <row r="334" spans="1:6" ht="17" customHeight="1" x14ac:dyDescent="0.2">
      <c r="B334" s="94" t="s">
        <v>270</v>
      </c>
      <c r="C334" s="94"/>
      <c r="D334" s="13"/>
      <c r="E334" s="7"/>
    </row>
    <row r="335" spans="1:6" ht="17" customHeight="1" x14ac:dyDescent="0.2">
      <c r="A335" s="19"/>
      <c r="B335" s="195" t="s">
        <v>296</v>
      </c>
      <c r="C335" s="195"/>
      <c r="D335" s="195"/>
      <c r="E335" s="233"/>
    </row>
    <row r="336" spans="1:6" s="3" customFormat="1" ht="17" customHeight="1" x14ac:dyDescent="0.2">
      <c r="A336" s="47"/>
      <c r="B336" s="37" t="s">
        <v>287</v>
      </c>
      <c r="C336" s="28" t="s">
        <v>297</v>
      </c>
      <c r="D336" s="184">
        <v>20000</v>
      </c>
      <c r="E336" s="184"/>
    </row>
    <row r="337" spans="1:5" s="3" customFormat="1" ht="17" customHeight="1" x14ac:dyDescent="0.2">
      <c r="A337" s="47"/>
      <c r="B337" s="37" t="s">
        <v>295</v>
      </c>
      <c r="C337" s="28" t="s">
        <v>418</v>
      </c>
      <c r="D337" s="184">
        <f>30000*2</f>
        <v>60000</v>
      </c>
      <c r="E337" s="184"/>
    </row>
    <row r="338" spans="1:5" s="3" customFormat="1" ht="17" customHeight="1" x14ac:dyDescent="0.2">
      <c r="A338" s="47"/>
      <c r="B338" s="37" t="s">
        <v>298</v>
      </c>
      <c r="C338" s="28" t="s">
        <v>299</v>
      </c>
      <c r="D338" s="184">
        <f>100*2*2*120*2</f>
        <v>96000</v>
      </c>
      <c r="E338" s="184"/>
    </row>
    <row r="339" spans="1:5" ht="17" customHeight="1" x14ac:dyDescent="0.2">
      <c r="B339" s="17" t="s">
        <v>0</v>
      </c>
      <c r="C339" s="7"/>
      <c r="D339" s="7"/>
      <c r="E339" s="18">
        <f>SUM(D336:D338)</f>
        <v>176000</v>
      </c>
    </row>
    <row r="340" spans="1:5" ht="17" customHeight="1" x14ac:dyDescent="0.2">
      <c r="A340" s="19"/>
      <c r="B340" s="19"/>
      <c r="C340" s="20"/>
      <c r="D340" s="21"/>
      <c r="E340" s="22"/>
    </row>
    <row r="341" spans="1:5" ht="17" customHeight="1" x14ac:dyDescent="0.2">
      <c r="B341" s="94" t="s">
        <v>271</v>
      </c>
      <c r="D341" s="141"/>
      <c r="E341" s="150"/>
    </row>
    <row r="342" spans="1:5" ht="17" customHeight="1" x14ac:dyDescent="0.2">
      <c r="A342" s="19"/>
      <c r="B342" s="195" t="s">
        <v>289</v>
      </c>
      <c r="C342" s="195"/>
      <c r="D342" s="195"/>
      <c r="E342" s="195"/>
    </row>
    <row r="343" spans="1:5" s="3" customFormat="1" ht="17" customHeight="1" x14ac:dyDescent="0.2">
      <c r="A343" s="47"/>
      <c r="B343" s="37" t="s">
        <v>290</v>
      </c>
      <c r="C343" s="28" t="s">
        <v>292</v>
      </c>
      <c r="D343" s="44">
        <v>22000</v>
      </c>
      <c r="E343" s="142"/>
    </row>
    <row r="344" spans="1:5" s="3" customFormat="1" ht="17" customHeight="1" x14ac:dyDescent="0.2">
      <c r="A344" s="47"/>
      <c r="B344" s="37" t="s">
        <v>304</v>
      </c>
      <c r="C344" s="28" t="s">
        <v>293</v>
      </c>
      <c r="D344" s="184">
        <f>350*2*2*120</f>
        <v>168000</v>
      </c>
      <c r="E344" s="142"/>
    </row>
    <row r="345" spans="1:5" s="3" customFormat="1" ht="17" customHeight="1" x14ac:dyDescent="0.2">
      <c r="A345" s="47"/>
      <c r="B345" s="37" t="s">
        <v>291</v>
      </c>
      <c r="C345" s="28" t="s">
        <v>294</v>
      </c>
      <c r="D345" s="184">
        <v>159000</v>
      </c>
      <c r="E345" s="142"/>
    </row>
    <row r="346" spans="1:5" ht="17" customHeight="1" x14ac:dyDescent="0.2">
      <c r="B346" s="17" t="s">
        <v>0</v>
      </c>
      <c r="D346" s="141"/>
      <c r="E346" s="18">
        <f>SUM(D343:D345)</f>
        <v>349000</v>
      </c>
    </row>
    <row r="347" spans="1:5" ht="17" customHeight="1" x14ac:dyDescent="0.2">
      <c r="A347" s="19"/>
      <c r="B347" s="19"/>
      <c r="C347" s="20"/>
      <c r="D347" s="21"/>
      <c r="E347" s="22"/>
    </row>
    <row r="348" spans="1:5" ht="17" customHeight="1" x14ac:dyDescent="0.2">
      <c r="B348" s="94" t="s">
        <v>278</v>
      </c>
      <c r="D348" s="141"/>
      <c r="E348" s="150"/>
    </row>
    <row r="349" spans="1:5" ht="17" customHeight="1" x14ac:dyDescent="0.2">
      <c r="A349" s="19"/>
      <c r="B349" s="195" t="s">
        <v>272</v>
      </c>
      <c r="C349" s="195"/>
      <c r="D349" s="195"/>
      <c r="E349" s="195"/>
    </row>
    <row r="350" spans="1:5" s="3" customFormat="1" ht="17" customHeight="1" x14ac:dyDescent="0.2">
      <c r="A350" s="47"/>
      <c r="B350" s="47" t="s">
        <v>23</v>
      </c>
      <c r="C350" s="28" t="s">
        <v>301</v>
      </c>
      <c r="D350" s="44">
        <f>150*2*120</f>
        <v>36000</v>
      </c>
      <c r="E350" s="142"/>
    </row>
    <row r="351" spans="1:5" s="3" customFormat="1" ht="17" customHeight="1" x14ac:dyDescent="0.2">
      <c r="A351" s="47"/>
      <c r="B351" s="47" t="s">
        <v>273</v>
      </c>
      <c r="C351" s="28" t="s">
        <v>302</v>
      </c>
      <c r="D351" s="44">
        <v>29000</v>
      </c>
      <c r="E351" s="142"/>
    </row>
    <row r="352" spans="1:5" s="3" customFormat="1" ht="17" customHeight="1" x14ac:dyDescent="0.2">
      <c r="A352" s="47"/>
      <c r="B352" s="37" t="s">
        <v>134</v>
      </c>
      <c r="C352" s="28" t="s">
        <v>303</v>
      </c>
      <c r="D352" s="44">
        <f>250*2*120</f>
        <v>60000</v>
      </c>
      <c r="E352" s="142"/>
    </row>
    <row r="353" spans="1:6" s="3" customFormat="1" ht="17" customHeight="1" x14ac:dyDescent="0.2">
      <c r="A353" s="47"/>
      <c r="B353" s="47" t="s">
        <v>274</v>
      </c>
      <c r="C353" s="28" t="s">
        <v>303</v>
      </c>
      <c r="D353" s="44">
        <f>250*2*120</f>
        <v>60000</v>
      </c>
      <c r="E353" s="142"/>
    </row>
    <row r="354" spans="1:6" ht="17" customHeight="1" x14ac:dyDescent="0.2">
      <c r="B354" s="17" t="s">
        <v>0</v>
      </c>
      <c r="D354" s="141"/>
      <c r="E354" s="18">
        <f>SUM(D350:D353)</f>
        <v>185000</v>
      </c>
    </row>
    <row r="355" spans="1:6" ht="17" customHeight="1" x14ac:dyDescent="0.2">
      <c r="A355" s="19"/>
      <c r="B355" s="19"/>
      <c r="C355" s="20"/>
      <c r="D355" s="21"/>
      <c r="E355" s="22"/>
    </row>
    <row r="356" spans="1:6" ht="17" customHeight="1" x14ac:dyDescent="0.2">
      <c r="B356" s="221" t="s">
        <v>275</v>
      </c>
      <c r="C356" s="221"/>
      <c r="D356" s="150"/>
      <c r="E356" s="141"/>
    </row>
    <row r="357" spans="1:6" ht="17" customHeight="1" x14ac:dyDescent="0.2">
      <c r="A357" s="19"/>
      <c r="B357" s="217" t="s">
        <v>276</v>
      </c>
      <c r="C357" s="217"/>
      <c r="D357" s="217"/>
      <c r="E357" s="232"/>
    </row>
    <row r="358" spans="1:6" s="3" customFormat="1" ht="17" customHeight="1" x14ac:dyDescent="0.2">
      <c r="A358" s="47"/>
      <c r="B358" s="28" t="s">
        <v>277</v>
      </c>
      <c r="C358" s="28" t="s">
        <v>284</v>
      </c>
      <c r="D358" s="44">
        <v>120000</v>
      </c>
      <c r="E358" s="45"/>
    </row>
    <row r="359" spans="1:6" s="3" customFormat="1" ht="17" customHeight="1" x14ac:dyDescent="0.2">
      <c r="A359" s="47"/>
      <c r="B359" s="28" t="s">
        <v>285</v>
      </c>
      <c r="C359" s="28" t="s">
        <v>286</v>
      </c>
      <c r="D359" s="44">
        <f>1500*120</f>
        <v>180000</v>
      </c>
      <c r="E359" s="45"/>
      <c r="F359" s="191"/>
    </row>
    <row r="360" spans="1:6" s="3" customFormat="1" ht="17" customHeight="1" x14ac:dyDescent="0.2">
      <c r="A360" s="47"/>
      <c r="B360" s="28" t="s">
        <v>279</v>
      </c>
      <c r="C360" s="28" t="s">
        <v>288</v>
      </c>
      <c r="D360" s="44">
        <f>200*2*120</f>
        <v>48000</v>
      </c>
      <c r="E360" s="45"/>
    </row>
    <row r="361" spans="1:6" ht="17" customHeight="1" x14ac:dyDescent="0.2">
      <c r="B361" s="27" t="s">
        <v>0</v>
      </c>
      <c r="C361" s="27"/>
      <c r="D361" s="14"/>
      <c r="E361" s="18">
        <f>SUM(D358:D360)</f>
        <v>348000</v>
      </c>
    </row>
    <row r="362" spans="1:6" ht="17" customHeight="1" x14ac:dyDescent="0.2">
      <c r="A362" s="19"/>
      <c r="B362" s="19"/>
      <c r="C362" s="20"/>
      <c r="D362" s="21"/>
      <c r="E362" s="22"/>
    </row>
    <row r="363" spans="1:6" ht="17" customHeight="1" x14ac:dyDescent="0.2">
      <c r="B363" s="27" t="s">
        <v>389</v>
      </c>
      <c r="C363" s="38"/>
      <c r="D363" s="39"/>
      <c r="E363" s="40">
        <f>E313+E322+E332+E339+E346+E354+E361</f>
        <v>3582000</v>
      </c>
    </row>
    <row r="364" spans="1:6" ht="16.5" customHeight="1" x14ac:dyDescent="0.2">
      <c r="A364" s="51"/>
      <c r="B364" s="51"/>
      <c r="C364" s="62"/>
      <c r="D364" s="59"/>
      <c r="E364" s="52"/>
    </row>
    <row r="365" spans="1:6" s="58" customFormat="1" ht="16.5" customHeight="1" x14ac:dyDescent="0.2">
      <c r="A365" s="107">
        <v>5</v>
      </c>
      <c r="B365" s="228" t="s">
        <v>397</v>
      </c>
      <c r="C365" s="228"/>
      <c r="D365" s="108"/>
      <c r="E365" s="109"/>
    </row>
    <row r="366" spans="1:6" s="58" customFormat="1" x14ac:dyDescent="0.2">
      <c r="A366" s="110"/>
      <c r="B366" s="220"/>
      <c r="C366" s="220"/>
      <c r="D366" s="111"/>
      <c r="E366" s="112"/>
    </row>
    <row r="367" spans="1:6" s="58" customFormat="1" x14ac:dyDescent="0.2">
      <c r="A367" s="113" t="s">
        <v>326</v>
      </c>
      <c r="B367" s="114" t="s">
        <v>419</v>
      </c>
      <c r="C367" s="115"/>
      <c r="D367" s="116"/>
      <c r="E367" s="117"/>
    </row>
    <row r="368" spans="1:6" s="58" customFormat="1" x14ac:dyDescent="0.2">
      <c r="A368" s="113"/>
      <c r="B368" s="118" t="s">
        <v>238</v>
      </c>
      <c r="C368" s="115"/>
      <c r="D368" s="116"/>
      <c r="E368" s="117"/>
    </row>
    <row r="369" spans="1:5" s="3" customFormat="1" ht="17" x14ac:dyDescent="0.2">
      <c r="A369" s="47"/>
      <c r="B369" s="37" t="s">
        <v>96</v>
      </c>
      <c r="C369" s="46" t="s">
        <v>202</v>
      </c>
      <c r="D369" s="44">
        <f>2500*120</f>
        <v>300000</v>
      </c>
      <c r="E369" s="59"/>
    </row>
    <row r="370" spans="1:5" s="3" customFormat="1" ht="17" x14ac:dyDescent="0.2">
      <c r="A370" s="47"/>
      <c r="B370" s="37" t="s">
        <v>23</v>
      </c>
      <c r="C370" s="46" t="s">
        <v>236</v>
      </c>
      <c r="D370" s="44">
        <f>4000*120</f>
        <v>480000</v>
      </c>
      <c r="E370" s="59"/>
    </row>
    <row r="371" spans="1:5" s="3" customFormat="1" ht="17" x14ac:dyDescent="0.2">
      <c r="A371" s="47"/>
      <c r="B371" s="37" t="s">
        <v>115</v>
      </c>
      <c r="C371" s="46" t="s">
        <v>203</v>
      </c>
      <c r="D371" s="44">
        <f>800*120</f>
        <v>96000</v>
      </c>
      <c r="E371" s="59"/>
    </row>
    <row r="372" spans="1:5" s="3" customFormat="1" ht="17" x14ac:dyDescent="0.2">
      <c r="A372" s="47"/>
      <c r="B372" s="37" t="s">
        <v>116</v>
      </c>
      <c r="C372" s="46" t="s">
        <v>205</v>
      </c>
      <c r="D372" s="44">
        <f>2000*120</f>
        <v>240000</v>
      </c>
      <c r="E372" s="59"/>
    </row>
    <row r="373" spans="1:5" s="3" customFormat="1" ht="17" x14ac:dyDescent="0.2">
      <c r="A373" s="47"/>
      <c r="B373" s="37" t="s">
        <v>34</v>
      </c>
      <c r="C373" s="46" t="s">
        <v>196</v>
      </c>
      <c r="D373" s="44">
        <f>500*120</f>
        <v>60000</v>
      </c>
      <c r="E373" s="59"/>
    </row>
    <row r="374" spans="1:5" s="3" customFormat="1" ht="16.5" customHeight="1" x14ac:dyDescent="0.2">
      <c r="A374" s="47"/>
      <c r="B374" s="37" t="s">
        <v>24</v>
      </c>
      <c r="C374" s="46" t="s">
        <v>204</v>
      </c>
      <c r="D374" s="44">
        <f>3000*120</f>
        <v>360000</v>
      </c>
      <c r="E374" s="59"/>
    </row>
    <row r="375" spans="1:5" s="3" customFormat="1" ht="17" x14ac:dyDescent="0.2">
      <c r="A375" s="92"/>
      <c r="B375" s="65" t="s">
        <v>0</v>
      </c>
      <c r="C375" s="65"/>
      <c r="D375" s="54"/>
      <c r="E375" s="54">
        <f>SUM(D369:D374)</f>
        <v>1536000</v>
      </c>
    </row>
    <row r="376" spans="1:5" s="3" customFormat="1" x14ac:dyDescent="0.2">
      <c r="A376" s="92"/>
      <c r="B376" s="51"/>
      <c r="C376" s="62"/>
      <c r="D376" s="59"/>
      <c r="E376" s="52"/>
    </row>
    <row r="377" spans="1:5" s="3" customFormat="1" x14ac:dyDescent="0.2">
      <c r="A377" s="92" t="s">
        <v>327</v>
      </c>
      <c r="B377" s="193" t="s">
        <v>420</v>
      </c>
      <c r="C377" s="46"/>
      <c r="D377" s="44"/>
      <c r="E377" s="59"/>
    </row>
    <row r="378" spans="1:5" s="3" customFormat="1" x14ac:dyDescent="0.2">
      <c r="A378" s="92"/>
      <c r="B378" s="37" t="s">
        <v>239</v>
      </c>
      <c r="C378" s="46"/>
      <c r="D378" s="44"/>
      <c r="E378" s="59"/>
    </row>
    <row r="379" spans="1:5" s="3" customFormat="1" ht="17" x14ac:dyDescent="0.2">
      <c r="A379" s="47"/>
      <c r="B379" s="37" t="s">
        <v>117</v>
      </c>
      <c r="C379" s="28" t="s">
        <v>399</v>
      </c>
      <c r="D379" s="44">
        <f>5000*120</f>
        <v>600000</v>
      </c>
      <c r="E379" s="59"/>
    </row>
    <row r="380" spans="1:5" s="3" customFormat="1" ht="17" x14ac:dyDescent="0.2">
      <c r="A380" s="47"/>
      <c r="B380" s="37" t="s">
        <v>400</v>
      </c>
      <c r="C380" s="28" t="s">
        <v>203</v>
      </c>
      <c r="D380" s="44">
        <f>800*120</f>
        <v>96000</v>
      </c>
      <c r="E380" s="59"/>
    </row>
    <row r="381" spans="1:5" s="3" customFormat="1" ht="17" x14ac:dyDescent="0.2">
      <c r="A381" s="47"/>
      <c r="B381" s="37" t="s">
        <v>401</v>
      </c>
      <c r="C381" s="28" t="s">
        <v>260</v>
      </c>
      <c r="D381" s="44">
        <f>2000*120</f>
        <v>240000</v>
      </c>
      <c r="E381" s="59"/>
    </row>
    <row r="382" spans="1:5" s="3" customFormat="1" ht="17" x14ac:dyDescent="0.2">
      <c r="A382" s="47"/>
      <c r="B382" s="37" t="s">
        <v>35</v>
      </c>
      <c r="C382" s="46" t="s">
        <v>421</v>
      </c>
      <c r="D382" s="44">
        <f>800*120</f>
        <v>96000</v>
      </c>
      <c r="E382" s="59"/>
    </row>
    <row r="383" spans="1:5" s="3" customFormat="1" ht="17" x14ac:dyDescent="0.2">
      <c r="A383" s="47"/>
      <c r="B383" s="37" t="s">
        <v>116</v>
      </c>
      <c r="C383" s="28" t="s">
        <v>204</v>
      </c>
      <c r="D383" s="44">
        <f>3000*120</f>
        <v>360000</v>
      </c>
      <c r="E383" s="59"/>
    </row>
    <row r="384" spans="1:5" s="3" customFormat="1" ht="17" x14ac:dyDescent="0.2">
      <c r="A384" s="47"/>
      <c r="B384" s="37" t="s">
        <v>398</v>
      </c>
      <c r="C384" s="28" t="s">
        <v>402</v>
      </c>
      <c r="D384" s="44">
        <f>900*120</f>
        <v>108000</v>
      </c>
      <c r="E384" s="59"/>
    </row>
    <row r="385" spans="1:5" s="3" customFormat="1" ht="17" x14ac:dyDescent="0.2">
      <c r="A385" s="47"/>
      <c r="B385" s="37" t="s">
        <v>24</v>
      </c>
      <c r="C385" s="28" t="s">
        <v>204</v>
      </c>
      <c r="D385" s="44">
        <f>3000*120</f>
        <v>360000</v>
      </c>
      <c r="E385" s="59"/>
    </row>
    <row r="386" spans="1:5" s="3" customFormat="1" ht="17" x14ac:dyDescent="0.2">
      <c r="A386" s="92"/>
      <c r="B386" s="65" t="s">
        <v>0</v>
      </c>
      <c r="C386" s="65"/>
      <c r="D386" s="54"/>
      <c r="E386" s="54">
        <f>SUM(D379:D385)</f>
        <v>1860000</v>
      </c>
    </row>
    <row r="387" spans="1:5" s="3" customFormat="1" x14ac:dyDescent="0.2">
      <c r="A387" s="92"/>
      <c r="B387" s="51"/>
      <c r="C387" s="62"/>
      <c r="D387" s="59"/>
      <c r="E387" s="52"/>
    </row>
    <row r="388" spans="1:5" s="3" customFormat="1" x14ac:dyDescent="0.2">
      <c r="A388" s="92" t="s">
        <v>328</v>
      </c>
      <c r="B388" s="105" t="s">
        <v>423</v>
      </c>
      <c r="C388" s="46"/>
      <c r="D388" s="44"/>
      <c r="E388" s="59"/>
    </row>
    <row r="389" spans="1:5" s="3" customFormat="1" ht="17" x14ac:dyDescent="0.2">
      <c r="A389" s="92"/>
      <c r="B389" s="46" t="s">
        <v>240</v>
      </c>
      <c r="C389" s="46"/>
      <c r="D389" s="44"/>
      <c r="E389" s="59"/>
    </row>
    <row r="390" spans="1:5" s="3" customFormat="1" ht="17" x14ac:dyDescent="0.2">
      <c r="A390" s="47"/>
      <c r="B390" s="37" t="s">
        <v>117</v>
      </c>
      <c r="C390" s="46" t="s">
        <v>204</v>
      </c>
      <c r="D390" s="44">
        <f>3000*120</f>
        <v>360000</v>
      </c>
      <c r="E390" s="59"/>
    </row>
    <row r="391" spans="1:5" s="3" customFormat="1" ht="17" x14ac:dyDescent="0.2">
      <c r="A391" s="47"/>
      <c r="B391" s="37" t="s">
        <v>168</v>
      </c>
      <c r="C391" s="28" t="s">
        <v>402</v>
      </c>
      <c r="D391" s="44">
        <f>900*120</f>
        <v>108000</v>
      </c>
      <c r="E391" s="59"/>
    </row>
    <row r="392" spans="1:5" s="3" customFormat="1" ht="17" x14ac:dyDescent="0.2">
      <c r="A392" s="47"/>
      <c r="B392" s="37" t="s">
        <v>169</v>
      </c>
      <c r="C392" s="28" t="s">
        <v>204</v>
      </c>
      <c r="D392" s="44">
        <f>3000*120</f>
        <v>360000</v>
      </c>
      <c r="E392" s="59"/>
    </row>
    <row r="393" spans="1:5" s="3" customFormat="1" ht="17" x14ac:dyDescent="0.2">
      <c r="A393" s="47"/>
      <c r="B393" s="37" t="s">
        <v>422</v>
      </c>
      <c r="C393" s="28" t="s">
        <v>207</v>
      </c>
      <c r="D393" s="44">
        <f>1200*120</f>
        <v>144000</v>
      </c>
      <c r="E393" s="59"/>
    </row>
    <row r="394" spans="1:5" s="3" customFormat="1" ht="17" x14ac:dyDescent="0.2">
      <c r="A394" s="47"/>
      <c r="B394" s="37" t="s">
        <v>34</v>
      </c>
      <c r="C394" s="28" t="s">
        <v>402</v>
      </c>
      <c r="D394" s="44">
        <f>900*120</f>
        <v>108000</v>
      </c>
      <c r="E394" s="59"/>
    </row>
    <row r="395" spans="1:5" s="3" customFormat="1" ht="17" x14ac:dyDescent="0.2">
      <c r="A395" s="47"/>
      <c r="B395" s="37" t="s">
        <v>24</v>
      </c>
      <c r="C395" s="28" t="s">
        <v>204</v>
      </c>
      <c r="D395" s="44">
        <f>3000*120</f>
        <v>360000</v>
      </c>
      <c r="E395" s="59"/>
    </row>
    <row r="396" spans="1:5" s="3" customFormat="1" ht="17" x14ac:dyDescent="0.2">
      <c r="A396" s="92"/>
      <c r="B396" s="65" t="s">
        <v>0</v>
      </c>
      <c r="C396" s="65"/>
      <c r="D396" s="54"/>
      <c r="E396" s="54">
        <f>SUM(D390:D395)</f>
        <v>1440000</v>
      </c>
    </row>
    <row r="397" spans="1:5" s="3" customFormat="1" x14ac:dyDescent="0.2">
      <c r="A397" s="92"/>
      <c r="B397" s="65"/>
      <c r="C397" s="65"/>
      <c r="D397" s="54"/>
      <c r="E397" s="54"/>
    </row>
    <row r="398" spans="1:5" s="3" customFormat="1" ht="17" x14ac:dyDescent="0.2">
      <c r="A398" s="92" t="s">
        <v>329</v>
      </c>
      <c r="B398" s="146" t="s">
        <v>424</v>
      </c>
      <c r="C398" s="65"/>
      <c r="D398" s="54"/>
      <c r="E398" s="54"/>
    </row>
    <row r="399" spans="1:5" s="3" customFormat="1" ht="17" x14ac:dyDescent="0.2">
      <c r="A399" s="92"/>
      <c r="B399" s="46" t="s">
        <v>412</v>
      </c>
      <c r="C399" s="46"/>
      <c r="D399" s="44"/>
      <c r="E399" s="59"/>
    </row>
    <row r="400" spans="1:5" s="3" customFormat="1" ht="17" x14ac:dyDescent="0.2">
      <c r="A400" s="47"/>
      <c r="B400" s="37" t="s">
        <v>117</v>
      </c>
      <c r="C400" s="46" t="s">
        <v>205</v>
      </c>
      <c r="D400" s="44">
        <f>2000*120</f>
        <v>240000</v>
      </c>
      <c r="E400" s="59"/>
    </row>
    <row r="401" spans="1:5" s="3" customFormat="1" ht="17" x14ac:dyDescent="0.2">
      <c r="A401" s="47"/>
      <c r="B401" s="37" t="s">
        <v>168</v>
      </c>
      <c r="C401" s="28" t="s">
        <v>206</v>
      </c>
      <c r="D401" s="44">
        <f>1000*120</f>
        <v>120000</v>
      </c>
      <c r="E401" s="59"/>
    </row>
    <row r="402" spans="1:5" s="3" customFormat="1" ht="17" x14ac:dyDescent="0.2">
      <c r="A402" s="47"/>
      <c r="B402" s="37" t="s">
        <v>169</v>
      </c>
      <c r="C402" s="28" t="s">
        <v>202</v>
      </c>
      <c r="D402" s="44">
        <f>2500*120</f>
        <v>300000</v>
      </c>
      <c r="E402" s="59"/>
    </row>
    <row r="403" spans="1:5" s="3" customFormat="1" ht="17" x14ac:dyDescent="0.2">
      <c r="A403" s="47"/>
      <c r="B403" s="37" t="s">
        <v>34</v>
      </c>
      <c r="C403" s="28" t="s">
        <v>493</v>
      </c>
      <c r="D403" s="44">
        <f>700*120</f>
        <v>84000</v>
      </c>
      <c r="E403" s="59"/>
    </row>
    <row r="404" spans="1:5" s="3" customFormat="1" ht="17" x14ac:dyDescent="0.2">
      <c r="A404" s="47"/>
      <c r="B404" s="37" t="s">
        <v>24</v>
      </c>
      <c r="C404" s="28" t="s">
        <v>204</v>
      </c>
      <c r="D404" s="44">
        <f>3000*120-120000</f>
        <v>240000</v>
      </c>
      <c r="E404" s="59"/>
    </row>
    <row r="405" spans="1:5" s="3" customFormat="1" ht="17" x14ac:dyDescent="0.2">
      <c r="A405" s="92"/>
      <c r="B405" s="65" t="s">
        <v>0</v>
      </c>
      <c r="C405" s="65"/>
      <c r="D405" s="54"/>
      <c r="E405" s="54">
        <f>SUM(D400:D404)</f>
        <v>984000</v>
      </c>
    </row>
    <row r="406" spans="1:5" s="3" customFormat="1" x14ac:dyDescent="0.2">
      <c r="A406" s="92"/>
      <c r="B406" s="65"/>
      <c r="C406" s="65"/>
      <c r="D406" s="54"/>
      <c r="E406" s="54"/>
    </row>
    <row r="407" spans="1:5" s="3" customFormat="1" ht="17" x14ac:dyDescent="0.2">
      <c r="A407" s="92" t="s">
        <v>456</v>
      </c>
      <c r="B407" s="146" t="s">
        <v>403</v>
      </c>
      <c r="C407" s="65"/>
      <c r="D407" s="54"/>
      <c r="E407" s="54"/>
    </row>
    <row r="408" spans="1:5" s="3" customFormat="1" ht="17" x14ac:dyDescent="0.2">
      <c r="A408" s="92"/>
      <c r="B408" s="46" t="s">
        <v>412</v>
      </c>
      <c r="C408" s="46"/>
      <c r="D408" s="44"/>
      <c r="E408" s="59"/>
    </row>
    <row r="409" spans="1:5" s="3" customFormat="1" ht="17" x14ac:dyDescent="0.2">
      <c r="A409" s="47"/>
      <c r="B409" s="37" t="s">
        <v>117</v>
      </c>
      <c r="C409" s="46" t="s">
        <v>204</v>
      </c>
      <c r="D409" s="44">
        <f>3000*120</f>
        <v>360000</v>
      </c>
      <c r="E409" s="59"/>
    </row>
    <row r="410" spans="1:5" s="3" customFormat="1" ht="17" x14ac:dyDescent="0.2">
      <c r="A410" s="47"/>
      <c r="B410" s="37" t="s">
        <v>168</v>
      </c>
      <c r="C410" s="28" t="s">
        <v>207</v>
      </c>
      <c r="D410" s="44">
        <f>1200*120</f>
        <v>144000</v>
      </c>
      <c r="E410" s="59"/>
    </row>
    <row r="411" spans="1:5" s="3" customFormat="1" ht="17" x14ac:dyDescent="0.2">
      <c r="A411" s="47"/>
      <c r="B411" s="37" t="s">
        <v>169</v>
      </c>
      <c r="C411" s="28" t="s">
        <v>202</v>
      </c>
      <c r="D411" s="44">
        <f>2500*120</f>
        <v>300000</v>
      </c>
      <c r="E411" s="59"/>
    </row>
    <row r="412" spans="1:5" s="3" customFormat="1" ht="17" x14ac:dyDescent="0.2">
      <c r="A412" s="47"/>
      <c r="B412" s="37" t="s">
        <v>235</v>
      </c>
      <c r="C412" s="28" t="s">
        <v>206</v>
      </c>
      <c r="D412" s="44">
        <f>1000*120</f>
        <v>120000</v>
      </c>
      <c r="E412" s="59"/>
    </row>
    <row r="413" spans="1:5" s="3" customFormat="1" ht="17" x14ac:dyDescent="0.2">
      <c r="A413" s="47"/>
      <c r="B413" s="37" t="s">
        <v>24</v>
      </c>
      <c r="C413" s="28" t="s">
        <v>204</v>
      </c>
      <c r="D413" s="44">
        <f>3000*120</f>
        <v>360000</v>
      </c>
      <c r="E413" s="59"/>
    </row>
    <row r="414" spans="1:5" s="3" customFormat="1" ht="17" x14ac:dyDescent="0.2">
      <c r="A414" s="92"/>
      <c r="B414" s="65" t="s">
        <v>0</v>
      </c>
      <c r="C414" s="65"/>
      <c r="D414" s="54"/>
      <c r="E414" s="54">
        <f>SUM(D409:D413)</f>
        <v>1284000</v>
      </c>
    </row>
    <row r="415" spans="1:5" s="3" customFormat="1" x14ac:dyDescent="0.2">
      <c r="A415" s="92"/>
      <c r="B415" s="147"/>
      <c r="C415" s="65"/>
      <c r="D415" s="54"/>
      <c r="E415" s="54"/>
    </row>
    <row r="416" spans="1:5" s="3" customFormat="1" ht="17" x14ac:dyDescent="0.2">
      <c r="A416" s="92" t="s">
        <v>457</v>
      </c>
      <c r="B416" s="146" t="s">
        <v>413</v>
      </c>
      <c r="C416" s="65"/>
      <c r="D416" s="54"/>
      <c r="E416" s="54"/>
    </row>
    <row r="417" spans="1:5" s="3" customFormat="1" ht="17" x14ac:dyDescent="0.2">
      <c r="A417" s="92"/>
      <c r="B417" s="46" t="s">
        <v>240</v>
      </c>
      <c r="C417" s="46"/>
      <c r="D417" s="44"/>
      <c r="E417" s="59"/>
    </row>
    <row r="418" spans="1:5" s="3" customFormat="1" ht="17" x14ac:dyDescent="0.2">
      <c r="A418" s="47"/>
      <c r="B418" s="37" t="s">
        <v>117</v>
      </c>
      <c r="C418" s="46" t="s">
        <v>206</v>
      </c>
      <c r="D418" s="44">
        <f>1000*120</f>
        <v>120000</v>
      </c>
      <c r="E418" s="59"/>
    </row>
    <row r="419" spans="1:5" s="3" customFormat="1" ht="17" x14ac:dyDescent="0.2">
      <c r="A419" s="47"/>
      <c r="B419" s="37" t="s">
        <v>404</v>
      </c>
      <c r="C419" s="28" t="s">
        <v>205</v>
      </c>
      <c r="D419" s="44">
        <f>2000*120</f>
        <v>240000</v>
      </c>
      <c r="E419" s="59"/>
    </row>
    <row r="420" spans="1:5" s="3" customFormat="1" ht="17" x14ac:dyDescent="0.2">
      <c r="A420" s="47"/>
      <c r="B420" s="37" t="s">
        <v>168</v>
      </c>
      <c r="C420" s="28" t="s">
        <v>405</v>
      </c>
      <c r="D420" s="44">
        <f>850*120</f>
        <v>102000</v>
      </c>
      <c r="E420" s="59"/>
    </row>
    <row r="421" spans="1:5" s="3" customFormat="1" ht="17" x14ac:dyDescent="0.2">
      <c r="A421" s="47"/>
      <c r="B421" s="37" t="s">
        <v>169</v>
      </c>
      <c r="C421" s="28" t="s">
        <v>202</v>
      </c>
      <c r="D421" s="44">
        <f>2500*120</f>
        <v>300000</v>
      </c>
      <c r="E421" s="59"/>
    </row>
    <row r="422" spans="1:5" s="3" customFormat="1" ht="17" x14ac:dyDescent="0.2">
      <c r="A422" s="47"/>
      <c r="B422" s="37" t="s">
        <v>24</v>
      </c>
      <c r="C422" s="28" t="s">
        <v>237</v>
      </c>
      <c r="D422" s="44">
        <f>1500*120</f>
        <v>180000</v>
      </c>
      <c r="E422" s="59"/>
    </row>
    <row r="423" spans="1:5" s="3" customFormat="1" ht="17" x14ac:dyDescent="0.2">
      <c r="A423" s="92"/>
      <c r="B423" s="65" t="s">
        <v>0</v>
      </c>
      <c r="C423" s="65"/>
      <c r="D423" s="54"/>
      <c r="E423" s="54">
        <f>SUM(D418:D422)</f>
        <v>942000</v>
      </c>
    </row>
    <row r="424" spans="1:5" s="3" customFormat="1" x14ac:dyDescent="0.2">
      <c r="A424" s="92"/>
      <c r="B424" s="147"/>
      <c r="C424" s="65"/>
      <c r="D424" s="54"/>
      <c r="E424" s="54"/>
    </row>
    <row r="425" spans="1:5" s="3" customFormat="1" x14ac:dyDescent="0.2">
      <c r="A425" s="105" t="s">
        <v>330</v>
      </c>
      <c r="B425" s="105" t="s">
        <v>468</v>
      </c>
      <c r="C425" s="46"/>
      <c r="D425" s="44"/>
      <c r="E425" s="59"/>
    </row>
    <row r="426" spans="1:5" s="3" customFormat="1" x14ac:dyDescent="0.2">
      <c r="A426" s="105"/>
      <c r="B426" s="37" t="s">
        <v>490</v>
      </c>
      <c r="C426" s="46"/>
      <c r="D426" s="44"/>
      <c r="E426" s="59"/>
    </row>
    <row r="427" spans="1:5" s="3" customFormat="1" ht="17" x14ac:dyDescent="0.2">
      <c r="A427" s="37"/>
      <c r="B427" s="37" t="s">
        <v>96</v>
      </c>
      <c r="C427" s="46" t="s">
        <v>200</v>
      </c>
      <c r="D427" s="44">
        <f>4400*120</f>
        <v>528000</v>
      </c>
      <c r="E427" s="59"/>
    </row>
    <row r="428" spans="1:5" s="3" customFormat="1" ht="17" x14ac:dyDescent="0.2">
      <c r="A428" s="37"/>
      <c r="B428" s="37" t="s">
        <v>23</v>
      </c>
      <c r="C428" s="46" t="s">
        <v>237</v>
      </c>
      <c r="D428" s="44">
        <f>1500*120</f>
        <v>180000</v>
      </c>
      <c r="E428" s="59"/>
    </row>
    <row r="429" spans="1:5" s="3" customFormat="1" ht="17" x14ac:dyDescent="0.2">
      <c r="A429" s="37"/>
      <c r="B429" s="37" t="s">
        <v>115</v>
      </c>
      <c r="C429" s="46" t="s">
        <v>208</v>
      </c>
      <c r="D429" s="44">
        <f>1230*120</f>
        <v>147600</v>
      </c>
      <c r="E429" s="59"/>
    </row>
    <row r="430" spans="1:5" s="3" customFormat="1" ht="17" x14ac:dyDescent="0.2">
      <c r="A430" s="37"/>
      <c r="B430" s="37" t="s">
        <v>116</v>
      </c>
      <c r="C430" s="46" t="s">
        <v>256</v>
      </c>
      <c r="D430" s="44">
        <f>1175*120</f>
        <v>141000</v>
      </c>
      <c r="E430" s="59"/>
    </row>
    <row r="431" spans="1:5" s="3" customFormat="1" ht="16.5" customHeight="1" x14ac:dyDescent="0.2">
      <c r="A431" s="37"/>
      <c r="B431" s="37" t="s">
        <v>24</v>
      </c>
      <c r="C431" s="46" t="s">
        <v>204</v>
      </c>
      <c r="D431" s="44">
        <f>3000*120</f>
        <v>360000</v>
      </c>
      <c r="E431" s="59"/>
    </row>
    <row r="432" spans="1:5" s="3" customFormat="1" ht="17" x14ac:dyDescent="0.2">
      <c r="A432" s="105"/>
      <c r="B432" s="65" t="s">
        <v>0</v>
      </c>
      <c r="C432" s="65"/>
      <c r="D432" s="54"/>
      <c r="E432" s="54">
        <f>SUM(D427:D431)</f>
        <v>1356600</v>
      </c>
    </row>
    <row r="433" spans="1:5" s="3" customFormat="1" x14ac:dyDescent="0.2">
      <c r="A433" s="92"/>
      <c r="B433" s="65"/>
      <c r="C433" s="65"/>
      <c r="D433" s="54"/>
      <c r="E433" s="54"/>
    </row>
    <row r="434" spans="1:5" s="3" customFormat="1" x14ac:dyDescent="0.2">
      <c r="A434" s="105" t="s">
        <v>513</v>
      </c>
      <c r="B434" s="105" t="s">
        <v>489</v>
      </c>
      <c r="C434" s="46"/>
      <c r="D434" s="44"/>
      <c r="E434" s="59"/>
    </row>
    <row r="435" spans="1:5" s="3" customFormat="1" x14ac:dyDescent="0.2">
      <c r="A435" s="105"/>
      <c r="B435" s="37" t="s">
        <v>490</v>
      </c>
      <c r="C435" s="46"/>
      <c r="D435" s="44"/>
      <c r="E435" s="59"/>
    </row>
    <row r="436" spans="1:5" s="3" customFormat="1" ht="17" x14ac:dyDescent="0.2">
      <c r="A436" s="37"/>
      <c r="B436" s="37" t="s">
        <v>117</v>
      </c>
      <c r="C436" s="46" t="s">
        <v>201</v>
      </c>
      <c r="D436" s="44">
        <f>3500*120</f>
        <v>420000</v>
      </c>
      <c r="E436" s="59"/>
    </row>
    <row r="437" spans="1:5" s="3" customFormat="1" ht="17" x14ac:dyDescent="0.2">
      <c r="A437" s="47"/>
      <c r="B437" s="37" t="s">
        <v>34</v>
      </c>
      <c r="C437" s="28" t="s">
        <v>494</v>
      </c>
      <c r="D437" s="44">
        <f>300*120</f>
        <v>36000</v>
      </c>
      <c r="E437" s="59"/>
    </row>
    <row r="438" spans="1:5" s="3" customFormat="1" ht="17" x14ac:dyDescent="0.2">
      <c r="A438" s="37"/>
      <c r="B438" s="37" t="s">
        <v>115</v>
      </c>
      <c r="C438" s="46" t="s">
        <v>493</v>
      </c>
      <c r="D438" s="44">
        <f>700*120</f>
        <v>84000</v>
      </c>
      <c r="E438" s="59"/>
    </row>
    <row r="439" spans="1:5" s="3" customFormat="1" ht="17" x14ac:dyDescent="0.2">
      <c r="A439" s="47"/>
      <c r="B439" s="37" t="s">
        <v>235</v>
      </c>
      <c r="C439" s="28" t="s">
        <v>492</v>
      </c>
      <c r="D439" s="44">
        <f>600*120</f>
        <v>72000</v>
      </c>
      <c r="E439" s="59"/>
    </row>
    <row r="440" spans="1:5" s="3" customFormat="1" ht="17" x14ac:dyDescent="0.2">
      <c r="A440" s="37"/>
      <c r="B440" s="37" t="s">
        <v>116</v>
      </c>
      <c r="C440" s="46" t="s">
        <v>237</v>
      </c>
      <c r="D440" s="44">
        <f>1500*120</f>
        <v>180000</v>
      </c>
      <c r="E440" s="59"/>
    </row>
    <row r="441" spans="1:5" s="3" customFormat="1" ht="16.5" customHeight="1" x14ac:dyDescent="0.2">
      <c r="A441" s="37"/>
      <c r="B441" s="37" t="s">
        <v>24</v>
      </c>
      <c r="C441" s="46" t="s">
        <v>202</v>
      </c>
      <c r="D441" s="44">
        <f>2500*120</f>
        <v>300000</v>
      </c>
      <c r="E441" s="59"/>
    </row>
    <row r="442" spans="1:5" s="3" customFormat="1" ht="17" x14ac:dyDescent="0.2">
      <c r="A442" s="105"/>
      <c r="B442" s="65" t="s">
        <v>0</v>
      </c>
      <c r="C442" s="65"/>
      <c r="D442" s="54"/>
      <c r="E442" s="54">
        <f>SUM(D436:D441)</f>
        <v>1092000</v>
      </c>
    </row>
    <row r="443" spans="1:5" s="3" customFormat="1" x14ac:dyDescent="0.2">
      <c r="A443" s="92"/>
      <c r="B443" s="65"/>
      <c r="C443" s="65"/>
      <c r="D443" s="54"/>
      <c r="E443" s="54"/>
    </row>
    <row r="444" spans="1:5" s="3" customFormat="1" x14ac:dyDescent="0.2">
      <c r="A444" s="105" t="s">
        <v>458</v>
      </c>
      <c r="B444" s="105" t="s">
        <v>491</v>
      </c>
      <c r="C444" s="46"/>
      <c r="D444" s="44"/>
      <c r="E444" s="59"/>
    </row>
    <row r="445" spans="1:5" s="3" customFormat="1" x14ac:dyDescent="0.2">
      <c r="A445" s="105"/>
      <c r="B445" s="37" t="s">
        <v>490</v>
      </c>
      <c r="C445" s="46"/>
      <c r="D445" s="44"/>
      <c r="E445" s="59"/>
    </row>
    <row r="446" spans="1:5" s="3" customFormat="1" ht="17" x14ac:dyDescent="0.2">
      <c r="A446" s="37"/>
      <c r="B446" s="37" t="s">
        <v>96</v>
      </c>
      <c r="C446" s="46" t="s">
        <v>202</v>
      </c>
      <c r="D446" s="44">
        <f>2500*120</f>
        <v>300000</v>
      </c>
      <c r="E446" s="59"/>
    </row>
    <row r="447" spans="1:5" s="3" customFormat="1" ht="17" x14ac:dyDescent="0.2">
      <c r="A447" s="47"/>
      <c r="B447" s="37" t="s">
        <v>34</v>
      </c>
      <c r="C447" s="28" t="s">
        <v>196</v>
      </c>
      <c r="D447" s="44">
        <f>500*120</f>
        <v>60000</v>
      </c>
      <c r="E447" s="59"/>
    </row>
    <row r="448" spans="1:5" s="3" customFormat="1" ht="17" x14ac:dyDescent="0.2">
      <c r="A448" s="37"/>
      <c r="B448" s="37" t="s">
        <v>115</v>
      </c>
      <c r="C448" s="46" t="s">
        <v>203</v>
      </c>
      <c r="D448" s="44">
        <f>800*120</f>
        <v>96000</v>
      </c>
      <c r="E448" s="59"/>
    </row>
    <row r="449" spans="1:5" s="3" customFormat="1" ht="17" x14ac:dyDescent="0.2">
      <c r="A449" s="47"/>
      <c r="B449" s="37" t="s">
        <v>235</v>
      </c>
      <c r="C449" s="28" t="s">
        <v>203</v>
      </c>
      <c r="D449" s="44">
        <f>800*120</f>
        <v>96000</v>
      </c>
      <c r="E449" s="59"/>
    </row>
    <row r="450" spans="1:5" s="3" customFormat="1" ht="17" x14ac:dyDescent="0.2">
      <c r="A450" s="37"/>
      <c r="B450" s="37" t="s">
        <v>116</v>
      </c>
      <c r="C450" s="46" t="s">
        <v>202</v>
      </c>
      <c r="D450" s="44">
        <f>2500*120</f>
        <v>300000</v>
      </c>
      <c r="E450" s="59"/>
    </row>
    <row r="451" spans="1:5" s="3" customFormat="1" ht="16.5" customHeight="1" x14ac:dyDescent="0.2">
      <c r="A451" s="37"/>
      <c r="B451" s="37" t="s">
        <v>24</v>
      </c>
      <c r="C451" s="46" t="s">
        <v>204</v>
      </c>
      <c r="D451" s="44">
        <f>3000*120</f>
        <v>360000</v>
      </c>
      <c r="E451" s="59"/>
    </row>
    <row r="452" spans="1:5" s="3" customFormat="1" ht="17" x14ac:dyDescent="0.2">
      <c r="A452" s="105"/>
      <c r="B452" s="65" t="s">
        <v>0</v>
      </c>
      <c r="C452" s="65"/>
      <c r="D452" s="54"/>
      <c r="E452" s="54">
        <f>SUM(D446:D451)</f>
        <v>1212000</v>
      </c>
    </row>
    <row r="453" spans="1:5" s="3" customFormat="1" x14ac:dyDescent="0.2">
      <c r="A453" s="92"/>
      <c r="B453" s="65"/>
      <c r="C453" s="65"/>
      <c r="D453" s="54"/>
      <c r="E453" s="54"/>
    </row>
    <row r="454" spans="1:5" x14ac:dyDescent="0.2">
      <c r="A454" s="5" t="s">
        <v>495</v>
      </c>
      <c r="B454" s="5" t="s">
        <v>497</v>
      </c>
      <c r="D454" s="14"/>
    </row>
    <row r="455" spans="1:5" x14ac:dyDescent="0.2">
      <c r="A455" s="5"/>
      <c r="B455" s="7" t="s">
        <v>498</v>
      </c>
      <c r="D455" s="14"/>
    </row>
    <row r="456" spans="1:5" s="3" customFormat="1" ht="16.5" customHeight="1" x14ac:dyDescent="0.2">
      <c r="A456" s="37"/>
      <c r="B456" s="37" t="s">
        <v>24</v>
      </c>
      <c r="C456" s="46" t="s">
        <v>204</v>
      </c>
      <c r="D456" s="44">
        <f>3000*120</f>
        <v>360000</v>
      </c>
      <c r="E456" s="59"/>
    </row>
    <row r="457" spans="1:5" s="3" customFormat="1" ht="17" x14ac:dyDescent="0.2">
      <c r="A457" s="105"/>
      <c r="B457" s="65" t="s">
        <v>0</v>
      </c>
      <c r="C457" s="65"/>
      <c r="D457" s="54"/>
      <c r="E457" s="54">
        <f>SUM(D456:D456)</f>
        <v>360000</v>
      </c>
    </row>
    <row r="458" spans="1:5" s="3" customFormat="1" x14ac:dyDescent="0.2">
      <c r="A458" s="92"/>
      <c r="B458" s="65"/>
      <c r="C458" s="65"/>
      <c r="D458" s="54"/>
      <c r="E458" s="54"/>
    </row>
    <row r="459" spans="1:5" s="3" customFormat="1" ht="17" x14ac:dyDescent="0.2">
      <c r="A459" s="92" t="s">
        <v>496</v>
      </c>
      <c r="B459" s="146" t="s">
        <v>243</v>
      </c>
      <c r="C459" s="65"/>
      <c r="D459" s="44"/>
      <c r="E459" s="54"/>
    </row>
    <row r="460" spans="1:5" s="3" customFormat="1" ht="22.25" customHeight="1" x14ac:dyDescent="0.2">
      <c r="A460" s="47"/>
      <c r="B460" s="147" t="s">
        <v>241</v>
      </c>
      <c r="C460" s="147"/>
      <c r="D460" s="44">
        <f>600000+400000</f>
        <v>1000000</v>
      </c>
      <c r="E460" s="44"/>
    </row>
    <row r="461" spans="1:5" s="3" customFormat="1" ht="17" x14ac:dyDescent="0.2">
      <c r="A461" s="92"/>
      <c r="B461" s="65" t="s">
        <v>0</v>
      </c>
      <c r="C461" s="65"/>
      <c r="D461" s="54"/>
      <c r="E461" s="54">
        <f>+D460</f>
        <v>1000000</v>
      </c>
    </row>
    <row r="462" spans="1:5" s="3" customFormat="1" x14ac:dyDescent="0.2">
      <c r="A462" s="92"/>
      <c r="B462" s="65"/>
      <c r="C462" s="65"/>
      <c r="D462" s="54"/>
      <c r="E462" s="54"/>
    </row>
    <row r="463" spans="1:5" s="3" customFormat="1" x14ac:dyDescent="0.2">
      <c r="A463" s="92" t="s">
        <v>499</v>
      </c>
      <c r="B463" s="105" t="s">
        <v>391</v>
      </c>
      <c r="C463" s="46"/>
      <c r="D463" s="44"/>
      <c r="E463" s="59"/>
    </row>
    <row r="464" spans="1:5" s="3" customFormat="1" ht="17" x14ac:dyDescent="0.2">
      <c r="A464" s="47"/>
      <c r="B464" s="37" t="s">
        <v>36</v>
      </c>
      <c r="C464" s="46" t="s">
        <v>409</v>
      </c>
      <c r="D464" s="44">
        <v>100000</v>
      </c>
      <c r="E464" s="59"/>
    </row>
    <row r="465" spans="1:5" s="3" customFormat="1" ht="17" x14ac:dyDescent="0.2">
      <c r="A465" s="37"/>
      <c r="B465" s="37" t="s">
        <v>410</v>
      </c>
      <c r="C465" s="46" t="s">
        <v>411</v>
      </c>
      <c r="D465" s="44">
        <v>200000</v>
      </c>
      <c r="E465" s="59"/>
    </row>
    <row r="466" spans="1:5" s="3" customFormat="1" ht="17" x14ac:dyDescent="0.2">
      <c r="A466" s="47"/>
      <c r="B466" s="37" t="s">
        <v>408</v>
      </c>
      <c r="C466" s="46" t="s">
        <v>409</v>
      </c>
      <c r="D466" s="44">
        <v>100000</v>
      </c>
      <c r="E466" s="59"/>
    </row>
    <row r="467" spans="1:5" s="3" customFormat="1" ht="17" x14ac:dyDescent="0.2">
      <c r="A467" s="47"/>
      <c r="B467" s="37" t="s">
        <v>37</v>
      </c>
      <c r="C467" s="28" t="s">
        <v>406</v>
      </c>
      <c r="D467" s="44">
        <v>250000</v>
      </c>
      <c r="E467" s="59"/>
    </row>
    <row r="468" spans="1:5" s="3" customFormat="1" ht="17" x14ac:dyDescent="0.2">
      <c r="A468" s="47"/>
      <c r="B468" s="37" t="s">
        <v>242</v>
      </c>
      <c r="C468" s="28" t="s">
        <v>407</v>
      </c>
      <c r="D468" s="44">
        <v>150000</v>
      </c>
      <c r="E468" s="59"/>
    </row>
    <row r="469" spans="1:5" ht="17" x14ac:dyDescent="0.2">
      <c r="B469" s="27" t="s">
        <v>0</v>
      </c>
      <c r="D469" s="14"/>
      <c r="E469" s="18">
        <f>SUM(D464:D468)</f>
        <v>800000</v>
      </c>
    </row>
    <row r="470" spans="1:5" s="58" customFormat="1" x14ac:dyDescent="0.2">
      <c r="A470" s="110"/>
      <c r="B470" s="226"/>
      <c r="C470" s="226"/>
      <c r="D470" s="226"/>
      <c r="E470" s="226"/>
    </row>
    <row r="471" spans="1:5" s="58" customFormat="1" ht="17" x14ac:dyDescent="0.2">
      <c r="A471" s="113"/>
      <c r="B471" s="118"/>
      <c r="C471" s="119" t="s">
        <v>38</v>
      </c>
      <c r="D471" s="120"/>
      <c r="E471" s="121">
        <f>+E375+E386+E396+E405+E414+E423+E432+E442+E452+E457+E461+E469</f>
        <v>13866600</v>
      </c>
    </row>
    <row r="472" spans="1:5" s="58" customFormat="1" ht="18" customHeight="1" x14ac:dyDescent="0.2">
      <c r="A472" s="113"/>
      <c r="B472" s="118"/>
      <c r="C472" s="154" t="s">
        <v>93</v>
      </c>
      <c r="D472" s="137"/>
      <c r="E472" s="137">
        <f>E37+E216+E304+E471+E363</f>
        <v>1151226000</v>
      </c>
    </row>
    <row r="473" spans="1:5" s="58" customFormat="1" ht="15.5" customHeight="1" x14ac:dyDescent="0.2">
      <c r="A473" s="110"/>
      <c r="B473" s="225"/>
      <c r="C473" s="225"/>
      <c r="D473" s="225"/>
      <c r="E473" s="225"/>
    </row>
    <row r="474" spans="1:5" s="58" customFormat="1" x14ac:dyDescent="0.2">
      <c r="A474" s="113"/>
      <c r="B474" s="114" t="s">
        <v>39</v>
      </c>
      <c r="C474" s="115"/>
      <c r="D474" s="122"/>
      <c r="E474" s="122"/>
    </row>
    <row r="475" spans="1:5" s="58" customFormat="1" ht="30" customHeight="1" x14ac:dyDescent="0.2">
      <c r="A475" s="110"/>
      <c r="B475" s="123" t="s">
        <v>40</v>
      </c>
      <c r="C475" s="124" t="s">
        <v>41</v>
      </c>
      <c r="D475" s="125"/>
      <c r="E475" s="124" t="s">
        <v>42</v>
      </c>
    </row>
    <row r="476" spans="1:5" s="58" customFormat="1" x14ac:dyDescent="0.2">
      <c r="A476" s="113"/>
      <c r="B476" s="126"/>
      <c r="C476" s="126"/>
      <c r="D476" s="127"/>
      <c r="E476" s="122"/>
    </row>
    <row r="477" spans="1:5" s="58" customFormat="1" ht="17" x14ac:dyDescent="0.2">
      <c r="A477" s="113"/>
      <c r="B477" s="128" t="s">
        <v>43</v>
      </c>
      <c r="C477" s="133">
        <f>+C478</f>
        <v>13500000</v>
      </c>
      <c r="D477" s="129"/>
      <c r="E477" s="130"/>
    </row>
    <row r="478" spans="1:5" s="58" customFormat="1" ht="17" x14ac:dyDescent="0.2">
      <c r="A478" s="122">
        <v>4111</v>
      </c>
      <c r="B478" s="131" t="s">
        <v>414</v>
      </c>
      <c r="C478" s="156">
        <v>13500000</v>
      </c>
      <c r="D478" s="132"/>
      <c r="E478" s="117"/>
    </row>
    <row r="479" spans="1:5" s="58" customFormat="1" ht="17" x14ac:dyDescent="0.2">
      <c r="A479" s="122"/>
      <c r="B479" s="128" t="s">
        <v>44</v>
      </c>
      <c r="C479" s="157">
        <f>+C480+C481</f>
        <v>2100000</v>
      </c>
      <c r="D479" s="133"/>
      <c r="E479" s="117"/>
    </row>
    <row r="480" spans="1:5" s="58" customFormat="1" ht="17" x14ac:dyDescent="0.2">
      <c r="A480" s="122">
        <v>4121</v>
      </c>
      <c r="B480" s="134" t="s">
        <v>45</v>
      </c>
      <c r="C480" s="156">
        <v>1485000</v>
      </c>
      <c r="D480" s="132"/>
      <c r="E480" s="117"/>
    </row>
    <row r="481" spans="1:5" s="58" customFormat="1" ht="17" x14ac:dyDescent="0.2">
      <c r="A481" s="122">
        <v>4122</v>
      </c>
      <c r="B481" s="134" t="s">
        <v>46</v>
      </c>
      <c r="C481" s="156">
        <v>615000</v>
      </c>
      <c r="D481" s="132"/>
      <c r="E481" s="117"/>
    </row>
    <row r="482" spans="1:5" s="58" customFormat="1" x14ac:dyDescent="0.2">
      <c r="A482" s="122"/>
      <c r="B482" s="135" t="s">
        <v>47</v>
      </c>
      <c r="C482" s="158">
        <f>+C483</f>
        <v>100000</v>
      </c>
      <c r="D482" s="132"/>
      <c r="E482" s="117"/>
    </row>
    <row r="483" spans="1:5" s="58" customFormat="1" x14ac:dyDescent="0.2">
      <c r="A483" s="122">
        <v>4144</v>
      </c>
      <c r="B483" s="136" t="s">
        <v>194</v>
      </c>
      <c r="C483" s="156">
        <v>100000</v>
      </c>
      <c r="D483" s="132"/>
      <c r="E483" s="117"/>
    </row>
    <row r="484" spans="1:5" s="58" customFormat="1" ht="17" x14ac:dyDescent="0.2">
      <c r="A484" s="122"/>
      <c r="B484" s="159" t="s">
        <v>48</v>
      </c>
      <c r="C484" s="157">
        <f>+C485</f>
        <v>400000</v>
      </c>
      <c r="D484" s="133"/>
      <c r="E484" s="117"/>
    </row>
    <row r="485" spans="1:5" s="58" customFormat="1" ht="17" x14ac:dyDescent="0.2">
      <c r="A485" s="122">
        <v>4151</v>
      </c>
      <c r="B485" s="134" t="s">
        <v>48</v>
      </c>
      <c r="C485" s="156">
        <v>400000</v>
      </c>
      <c r="D485" s="132"/>
      <c r="E485" s="117"/>
    </row>
    <row r="486" spans="1:5" s="58" customFormat="1" ht="17" x14ac:dyDescent="0.2">
      <c r="A486" s="122"/>
      <c r="B486" s="128" t="s">
        <v>49</v>
      </c>
      <c r="C486" s="133">
        <f>+C487</f>
        <v>0</v>
      </c>
      <c r="D486" s="133"/>
      <c r="E486" s="117"/>
    </row>
    <row r="487" spans="1:5" s="58" customFormat="1" ht="17" x14ac:dyDescent="0.2">
      <c r="A487" s="122">
        <v>4161</v>
      </c>
      <c r="B487" s="134" t="s">
        <v>50</v>
      </c>
      <c r="C487" s="132">
        <v>0</v>
      </c>
      <c r="D487" s="132"/>
      <c r="E487" s="117"/>
    </row>
    <row r="488" spans="1:5" s="58" customFormat="1" ht="17" x14ac:dyDescent="0.2">
      <c r="A488" s="122"/>
      <c r="B488" s="128" t="s">
        <v>51</v>
      </c>
      <c r="C488" s="133">
        <f>+C489+C490+C491+C492+C493+C494+C495</f>
        <v>4500000</v>
      </c>
      <c r="D488" s="133"/>
      <c r="E488" s="117"/>
    </row>
    <row r="489" spans="1:5" s="58" customFormat="1" ht="17" x14ac:dyDescent="0.2">
      <c r="A489" s="122">
        <v>4211</v>
      </c>
      <c r="B489" s="134" t="s">
        <v>52</v>
      </c>
      <c r="C489" s="156">
        <v>200000</v>
      </c>
      <c r="D489" s="132"/>
      <c r="E489" s="117"/>
    </row>
    <row r="490" spans="1:5" s="58" customFormat="1" x14ac:dyDescent="0.2">
      <c r="A490" s="122">
        <v>4212</v>
      </c>
      <c r="B490" s="136" t="s">
        <v>53</v>
      </c>
      <c r="C490" s="156">
        <v>800000</v>
      </c>
      <c r="D490" s="132"/>
      <c r="E490" s="117"/>
    </row>
    <row r="491" spans="1:5" s="58" customFormat="1" x14ac:dyDescent="0.2">
      <c r="A491" s="122">
        <v>4213</v>
      </c>
      <c r="B491" s="136" t="s">
        <v>54</v>
      </c>
      <c r="C491" s="156">
        <v>300000</v>
      </c>
      <c r="D491" s="132"/>
      <c r="E491" s="117"/>
    </row>
    <row r="492" spans="1:5" s="58" customFormat="1" x14ac:dyDescent="0.2">
      <c r="A492" s="122">
        <v>4214</v>
      </c>
      <c r="B492" s="136" t="s">
        <v>55</v>
      </c>
      <c r="C492" s="156">
        <v>500000</v>
      </c>
      <c r="D492" s="132"/>
      <c r="E492" s="117"/>
    </row>
    <row r="493" spans="1:5" s="58" customFormat="1" x14ac:dyDescent="0.2">
      <c r="A493" s="122">
        <v>4215</v>
      </c>
      <c r="B493" s="136" t="s">
        <v>56</v>
      </c>
      <c r="C493" s="156">
        <v>200000</v>
      </c>
      <c r="D493" s="132"/>
      <c r="E493" s="117"/>
    </row>
    <row r="494" spans="1:5" s="58" customFormat="1" x14ac:dyDescent="0.2">
      <c r="A494" s="122">
        <v>4216</v>
      </c>
      <c r="B494" s="136" t="s">
        <v>57</v>
      </c>
      <c r="C494" s="156">
        <v>2300000</v>
      </c>
      <c r="D494" s="132"/>
      <c r="E494" s="117"/>
    </row>
    <row r="495" spans="1:5" s="58" customFormat="1" x14ac:dyDescent="0.2">
      <c r="A495" s="122">
        <v>4219</v>
      </c>
      <c r="B495" s="136" t="s">
        <v>58</v>
      </c>
      <c r="C495" s="156">
        <v>200000</v>
      </c>
      <c r="D495" s="132"/>
      <c r="E495" s="117"/>
    </row>
    <row r="496" spans="1:5" s="58" customFormat="1" ht="17" x14ac:dyDescent="0.2">
      <c r="A496" s="122"/>
      <c r="B496" s="128" t="s">
        <v>59</v>
      </c>
      <c r="C496" s="160">
        <f>+C497+C498+C499+C500</f>
        <v>6000000</v>
      </c>
      <c r="D496" s="133"/>
      <c r="E496" s="117"/>
    </row>
    <row r="497" spans="1:5" s="58" customFormat="1" ht="17" x14ac:dyDescent="0.2">
      <c r="A497" s="122">
        <v>4221</v>
      </c>
      <c r="B497" s="134" t="s">
        <v>60</v>
      </c>
      <c r="C497" s="156">
        <v>2000000</v>
      </c>
      <c r="D497" s="132"/>
      <c r="E497" s="117"/>
    </row>
    <row r="498" spans="1:5" s="58" customFormat="1" ht="17" x14ac:dyDescent="0.2">
      <c r="A498" s="122">
        <v>4222</v>
      </c>
      <c r="B498" s="134" t="s">
        <v>61</v>
      </c>
      <c r="C498" s="156">
        <v>3200000</v>
      </c>
      <c r="D498" s="132"/>
      <c r="E498" s="117"/>
    </row>
    <row r="499" spans="1:5" s="58" customFormat="1" ht="17" x14ac:dyDescent="0.2">
      <c r="A499" s="122">
        <v>4223</v>
      </c>
      <c r="B499" s="134" t="s">
        <v>62</v>
      </c>
      <c r="C499" s="156">
        <v>600000</v>
      </c>
      <c r="D499" s="132"/>
      <c r="E499" s="117"/>
    </row>
    <row r="500" spans="1:5" s="58" customFormat="1" ht="17" x14ac:dyDescent="0.2">
      <c r="A500" s="122">
        <v>4229</v>
      </c>
      <c r="B500" s="134" t="s">
        <v>63</v>
      </c>
      <c r="C500" s="156">
        <v>200000</v>
      </c>
      <c r="D500" s="132"/>
      <c r="E500" s="117"/>
    </row>
    <row r="501" spans="1:5" s="58" customFormat="1" ht="17" x14ac:dyDescent="0.2">
      <c r="A501" s="122"/>
      <c r="B501" s="128" t="s">
        <v>64</v>
      </c>
      <c r="C501" s="133">
        <f>+C502+C503+C504+C505+C506+C507+C508</f>
        <v>30000000</v>
      </c>
      <c r="D501" s="133"/>
      <c r="E501" s="117"/>
    </row>
    <row r="502" spans="1:5" s="58" customFormat="1" x14ac:dyDescent="0.2">
      <c r="A502" s="122">
        <v>4231</v>
      </c>
      <c r="B502" s="136" t="s">
        <v>65</v>
      </c>
      <c r="C502" s="156">
        <v>2000000</v>
      </c>
      <c r="D502" s="132"/>
      <c r="E502" s="117"/>
    </row>
    <row r="503" spans="1:5" s="58" customFormat="1" x14ac:dyDescent="0.2">
      <c r="A503" s="122">
        <v>4232</v>
      </c>
      <c r="B503" s="136" t="s">
        <v>66</v>
      </c>
      <c r="C503" s="156">
        <v>2000000</v>
      </c>
      <c r="D503" s="132"/>
      <c r="E503" s="117"/>
    </row>
    <row r="504" spans="1:5" s="58" customFormat="1" ht="17" x14ac:dyDescent="0.2">
      <c r="A504" s="122">
        <v>4233</v>
      </c>
      <c r="B504" s="134" t="s">
        <v>67</v>
      </c>
      <c r="C504" s="156">
        <v>500000</v>
      </c>
      <c r="D504" s="132"/>
      <c r="E504" s="117"/>
    </row>
    <row r="505" spans="1:5" s="58" customFormat="1" x14ac:dyDescent="0.2">
      <c r="A505" s="122">
        <v>4234</v>
      </c>
      <c r="B505" s="136" t="s">
        <v>68</v>
      </c>
      <c r="C505" s="156">
        <f>3000000</f>
        <v>3000000</v>
      </c>
      <c r="D505" s="132"/>
      <c r="E505" s="117"/>
    </row>
    <row r="506" spans="1:5" s="58" customFormat="1" x14ac:dyDescent="0.2">
      <c r="A506" s="161">
        <v>4235</v>
      </c>
      <c r="B506" s="162" t="s">
        <v>69</v>
      </c>
      <c r="C506" s="156">
        <v>11000000</v>
      </c>
      <c r="D506" s="132"/>
      <c r="E506" s="117"/>
    </row>
    <row r="507" spans="1:5" s="58" customFormat="1" x14ac:dyDescent="0.2">
      <c r="A507" s="122">
        <v>4236</v>
      </c>
      <c r="B507" s="136" t="s">
        <v>70</v>
      </c>
      <c r="C507" s="156">
        <v>3000000</v>
      </c>
      <c r="D507" s="132"/>
      <c r="E507" s="117"/>
    </row>
    <row r="508" spans="1:5" s="58" customFormat="1" x14ac:dyDescent="0.2">
      <c r="A508" s="161">
        <v>4239</v>
      </c>
      <c r="B508" s="162" t="s">
        <v>71</v>
      </c>
      <c r="C508" s="156">
        <v>8500000</v>
      </c>
      <c r="D508" s="132"/>
      <c r="E508" s="117"/>
    </row>
    <row r="509" spans="1:5" s="58" customFormat="1" ht="17" x14ac:dyDescent="0.2">
      <c r="A509" s="122"/>
      <c r="B509" s="128" t="s">
        <v>72</v>
      </c>
      <c r="C509" s="157">
        <f>+C510</f>
        <v>0</v>
      </c>
      <c r="D509" s="133"/>
      <c r="E509" s="117"/>
    </row>
    <row r="510" spans="1:5" s="58" customFormat="1" ht="17" x14ac:dyDescent="0.2">
      <c r="A510" s="122">
        <v>4242</v>
      </c>
      <c r="B510" s="134" t="s">
        <v>73</v>
      </c>
      <c r="C510" s="156">
        <v>0</v>
      </c>
      <c r="D510" s="132"/>
      <c r="E510" s="137"/>
    </row>
    <row r="511" spans="1:5" s="58" customFormat="1" ht="17" x14ac:dyDescent="0.2">
      <c r="A511" s="122"/>
      <c r="B511" s="128" t="s">
        <v>74</v>
      </c>
      <c r="C511" s="163">
        <f>+C512+C513</f>
        <v>1000000</v>
      </c>
      <c r="D511" s="133"/>
      <c r="E511" s="117"/>
    </row>
    <row r="512" spans="1:5" s="58" customFormat="1" ht="17" x14ac:dyDescent="0.2">
      <c r="A512" s="122">
        <v>4251</v>
      </c>
      <c r="B512" s="134" t="s">
        <v>75</v>
      </c>
      <c r="C512" s="156">
        <v>400000</v>
      </c>
      <c r="D512" s="132"/>
      <c r="E512" s="117"/>
    </row>
    <row r="513" spans="1:5" s="58" customFormat="1" ht="17" x14ac:dyDescent="0.2">
      <c r="A513" s="122">
        <v>4252</v>
      </c>
      <c r="B513" s="134" t="s">
        <v>76</v>
      </c>
      <c r="C513" s="156">
        <v>600000</v>
      </c>
      <c r="D513" s="132"/>
      <c r="E513" s="117"/>
    </row>
    <row r="514" spans="1:5" s="58" customFormat="1" ht="17" x14ac:dyDescent="0.2">
      <c r="A514" s="122"/>
      <c r="B514" s="128" t="s">
        <v>77</v>
      </c>
      <c r="C514" s="157">
        <f>+C515+C516+C517+C518+C519</f>
        <v>1630000</v>
      </c>
      <c r="D514" s="133"/>
      <c r="E514" s="117"/>
    </row>
    <row r="515" spans="1:5" s="58" customFormat="1" x14ac:dyDescent="0.2">
      <c r="A515" s="122">
        <v>4261</v>
      </c>
      <c r="B515" s="136" t="s">
        <v>78</v>
      </c>
      <c r="C515" s="156">
        <v>700000</v>
      </c>
      <c r="D515" s="132"/>
      <c r="E515" s="117"/>
    </row>
    <row r="516" spans="1:5" s="58" customFormat="1" ht="17" x14ac:dyDescent="0.2">
      <c r="A516" s="122">
        <v>4263</v>
      </c>
      <c r="B516" s="134" t="s">
        <v>79</v>
      </c>
      <c r="C516" s="156">
        <v>330000</v>
      </c>
      <c r="D516" s="132"/>
      <c r="E516" s="117"/>
    </row>
    <row r="517" spans="1:5" s="58" customFormat="1" ht="17" x14ac:dyDescent="0.2">
      <c r="A517" s="122">
        <v>4264</v>
      </c>
      <c r="B517" s="134" t="s">
        <v>191</v>
      </c>
      <c r="C517" s="156">
        <v>100000</v>
      </c>
      <c r="D517" s="132"/>
      <c r="E517" s="117"/>
    </row>
    <row r="518" spans="1:5" s="58" customFormat="1" ht="17" x14ac:dyDescent="0.2">
      <c r="A518" s="122">
        <v>4266</v>
      </c>
      <c r="B518" s="134" t="s">
        <v>80</v>
      </c>
      <c r="C518" s="156">
        <v>0</v>
      </c>
      <c r="D518" s="132"/>
      <c r="E518" s="117"/>
    </row>
    <row r="519" spans="1:5" s="58" customFormat="1" ht="17" x14ac:dyDescent="0.2">
      <c r="A519" s="122">
        <v>4268</v>
      </c>
      <c r="B519" s="134" t="s">
        <v>81</v>
      </c>
      <c r="C519" s="156">
        <v>500000</v>
      </c>
      <c r="D519" s="132"/>
      <c r="E519" s="117"/>
    </row>
    <row r="520" spans="1:5" s="58" customFormat="1" ht="17" x14ac:dyDescent="0.2">
      <c r="A520" s="122"/>
      <c r="B520" s="138" t="s">
        <v>82</v>
      </c>
      <c r="C520" s="158">
        <f>+C521</f>
        <v>100000</v>
      </c>
      <c r="D520" s="132"/>
      <c r="E520" s="117"/>
    </row>
    <row r="521" spans="1:5" s="58" customFormat="1" ht="17" x14ac:dyDescent="0.2">
      <c r="A521" s="122">
        <v>4822</v>
      </c>
      <c r="B521" s="134" t="s">
        <v>83</v>
      </c>
      <c r="C521" s="156">
        <v>100000</v>
      </c>
      <c r="D521" s="132"/>
      <c r="E521" s="117"/>
    </row>
    <row r="522" spans="1:5" s="58" customFormat="1" ht="17" x14ac:dyDescent="0.2">
      <c r="A522" s="122"/>
      <c r="B522" s="164" t="s">
        <v>482</v>
      </c>
      <c r="C522" s="156"/>
      <c r="D522" s="132"/>
      <c r="E522" s="166">
        <f>+E523</f>
        <v>12000000</v>
      </c>
    </row>
    <row r="523" spans="1:5" s="58" customFormat="1" ht="17" x14ac:dyDescent="0.2">
      <c r="A523" s="122">
        <v>5113</v>
      </c>
      <c r="B523" s="165" t="s">
        <v>192</v>
      </c>
      <c r="C523" s="156"/>
      <c r="D523" s="132"/>
      <c r="E523" s="117">
        <v>12000000</v>
      </c>
    </row>
    <row r="524" spans="1:5" s="58" customFormat="1" ht="17" x14ac:dyDescent="0.2">
      <c r="A524" s="122"/>
      <c r="B524" s="138" t="s">
        <v>84</v>
      </c>
      <c r="C524" s="132"/>
      <c r="D524" s="132"/>
      <c r="E524" s="166">
        <f>+E525+E526</f>
        <v>3800000</v>
      </c>
    </row>
    <row r="525" spans="1:5" s="58" customFormat="1" ht="24" customHeight="1" x14ac:dyDescent="0.2">
      <c r="A525" s="122">
        <v>5121</v>
      </c>
      <c r="B525" s="134" t="s">
        <v>483</v>
      </c>
      <c r="C525" s="132"/>
      <c r="D525" s="132"/>
      <c r="E525" s="167">
        <v>2000000</v>
      </c>
    </row>
    <row r="526" spans="1:5" s="58" customFormat="1" ht="17" x14ac:dyDescent="0.2">
      <c r="A526" s="122">
        <v>5126</v>
      </c>
      <c r="B526" s="134" t="s">
        <v>484</v>
      </c>
      <c r="C526" s="132"/>
      <c r="D526" s="132"/>
      <c r="E526" s="74">
        <v>1800000</v>
      </c>
    </row>
    <row r="527" spans="1:5" x14ac:dyDescent="0.2">
      <c r="A527" s="93"/>
      <c r="B527" s="70"/>
      <c r="C527" s="71"/>
      <c r="D527" s="71"/>
      <c r="E527" s="77"/>
    </row>
    <row r="528" spans="1:5" x14ac:dyDescent="0.2">
      <c r="B528" s="17" t="s">
        <v>92</v>
      </c>
      <c r="C528" s="155">
        <f>+C477+C479+C482+C484+C488+C496+C501+C509+C511+C514+C520</f>
        <v>59330000</v>
      </c>
      <c r="D528" s="155"/>
      <c r="E528" s="155">
        <f>+E522+E524</f>
        <v>15800000</v>
      </c>
    </row>
    <row r="529" spans="1:5" x14ac:dyDescent="0.2">
      <c r="B529" s="17"/>
      <c r="C529" s="155"/>
      <c r="D529" s="74"/>
      <c r="E529" s="155"/>
    </row>
    <row r="530" spans="1:5" x14ac:dyDescent="0.2">
      <c r="B530" s="5" t="s">
        <v>258</v>
      </c>
      <c r="C530" s="6"/>
      <c r="D530" s="72"/>
    </row>
    <row r="531" spans="1:5" ht="18" customHeight="1" x14ac:dyDescent="0.2">
      <c r="C531" s="6"/>
      <c r="D531" s="74"/>
    </row>
    <row r="532" spans="1:5" x14ac:dyDescent="0.2">
      <c r="B532" s="9" t="s">
        <v>85</v>
      </c>
      <c r="C532" s="10">
        <f>+E37</f>
        <v>1026000000</v>
      </c>
      <c r="D532" s="74"/>
    </row>
    <row r="533" spans="1:5" x14ac:dyDescent="0.2">
      <c r="B533" s="9" t="s">
        <v>90</v>
      </c>
      <c r="C533" s="10">
        <f>+E216</f>
        <v>72957400</v>
      </c>
      <c r="D533" s="74"/>
    </row>
    <row r="534" spans="1:5" x14ac:dyDescent="0.2">
      <c r="B534" s="9" t="s">
        <v>164</v>
      </c>
      <c r="C534" s="10">
        <f>+E304</f>
        <v>34820000</v>
      </c>
      <c r="D534" s="74"/>
    </row>
    <row r="535" spans="1:5" x14ac:dyDescent="0.2">
      <c r="B535" s="9" t="s">
        <v>425</v>
      </c>
      <c r="C535" s="10">
        <f>+E363</f>
        <v>3582000</v>
      </c>
      <c r="D535" s="74"/>
    </row>
    <row r="536" spans="1:5" x14ac:dyDescent="0.2">
      <c r="B536" s="9" t="s">
        <v>86</v>
      </c>
      <c r="C536" s="10">
        <f>+E471</f>
        <v>13866600</v>
      </c>
      <c r="D536" s="74"/>
    </row>
    <row r="537" spans="1:5" x14ac:dyDescent="0.2">
      <c r="B537" s="9" t="s">
        <v>87</v>
      </c>
      <c r="C537" s="10">
        <f>C528</f>
        <v>59330000</v>
      </c>
      <c r="D537" s="74"/>
    </row>
    <row r="538" spans="1:5" x14ac:dyDescent="0.2">
      <c r="B538" s="9" t="s">
        <v>88</v>
      </c>
      <c r="C538" s="10">
        <f>SUM(E528)</f>
        <v>15800000</v>
      </c>
      <c r="D538" s="74"/>
    </row>
    <row r="539" spans="1:5" x14ac:dyDescent="0.2">
      <c r="A539" s="93"/>
      <c r="B539" s="11"/>
      <c r="C539" s="12"/>
      <c r="D539" s="77"/>
      <c r="E539" s="77"/>
    </row>
    <row r="540" spans="1:5" x14ac:dyDescent="0.2">
      <c r="B540" s="17" t="s">
        <v>102</v>
      </c>
      <c r="C540" s="10">
        <f>SUM(C532:C538)</f>
        <v>1226356000</v>
      </c>
      <c r="D540" s="83" t="s">
        <v>103</v>
      </c>
      <c r="E540" s="79"/>
    </row>
    <row r="541" spans="1:5" x14ac:dyDescent="0.2">
      <c r="D541" s="74"/>
    </row>
    <row r="542" spans="1:5" x14ac:dyDescent="0.2">
      <c r="D542" s="74"/>
    </row>
    <row r="543" spans="1:5" x14ac:dyDescent="0.2">
      <c r="D543" s="74"/>
    </row>
    <row r="544" spans="1:5" ht="17" x14ac:dyDescent="0.2">
      <c r="B544" s="7" t="s">
        <v>510</v>
      </c>
      <c r="C544" s="41" t="s">
        <v>101</v>
      </c>
      <c r="D544" s="74"/>
    </row>
    <row r="545" spans="3:5" ht="28.5" customHeight="1" x14ac:dyDescent="0.2">
      <c r="C545" s="41" t="s">
        <v>245</v>
      </c>
      <c r="D545" s="74"/>
    </row>
    <row r="546" spans="3:5" x14ac:dyDescent="0.2">
      <c r="E546" s="181"/>
    </row>
    <row r="547" spans="3:5" x14ac:dyDescent="0.2">
      <c r="E547" s="179"/>
    </row>
    <row r="548" spans="3:5" x14ac:dyDescent="0.2">
      <c r="E548" s="181"/>
    </row>
    <row r="549" spans="3:5" x14ac:dyDescent="0.2">
      <c r="E549" s="180"/>
    </row>
    <row r="550" spans="3:5" x14ac:dyDescent="0.2">
      <c r="E550" s="181"/>
    </row>
    <row r="551" spans="3:5" x14ac:dyDescent="0.2">
      <c r="E551" s="180"/>
    </row>
    <row r="552" spans="3:5" x14ac:dyDescent="0.2">
      <c r="E552" s="180"/>
    </row>
    <row r="553" spans="3:5" x14ac:dyDescent="0.2">
      <c r="E553" s="180"/>
    </row>
    <row r="554" spans="3:5" x14ac:dyDescent="0.2">
      <c r="E554" s="182"/>
    </row>
    <row r="555" spans="3:5" x14ac:dyDescent="0.2">
      <c r="E555" s="183"/>
    </row>
    <row r="556" spans="3:5" x14ac:dyDescent="0.2">
      <c r="E556" s="182"/>
    </row>
    <row r="557" spans="3:5" x14ac:dyDescent="0.2">
      <c r="E557" s="180"/>
    </row>
    <row r="558" spans="3:5" x14ac:dyDescent="0.2">
      <c r="E558" s="180"/>
    </row>
    <row r="559" spans="3:5" x14ac:dyDescent="0.2">
      <c r="E559" s="180"/>
    </row>
    <row r="560" spans="3:5" x14ac:dyDescent="0.2">
      <c r="E560" s="180"/>
    </row>
    <row r="561" spans="5:5" x14ac:dyDescent="0.2">
      <c r="E561" s="180"/>
    </row>
    <row r="562" spans="5:5" x14ac:dyDescent="0.2">
      <c r="E562" s="180"/>
    </row>
    <row r="563" spans="5:5" x14ac:dyDescent="0.2">
      <c r="E563" s="180"/>
    </row>
    <row r="564" spans="5:5" x14ac:dyDescent="0.2">
      <c r="E564" s="182"/>
    </row>
    <row r="565" spans="5:5" x14ac:dyDescent="0.2">
      <c r="E565" s="180"/>
    </row>
    <row r="566" spans="5:5" x14ac:dyDescent="0.2">
      <c r="E566" s="180"/>
    </row>
    <row r="567" spans="5:5" x14ac:dyDescent="0.2">
      <c r="E567" s="180"/>
    </row>
    <row r="568" spans="5:5" x14ac:dyDescent="0.2">
      <c r="E568" s="180"/>
    </row>
    <row r="569" spans="5:5" x14ac:dyDescent="0.2">
      <c r="E569" s="180"/>
    </row>
    <row r="570" spans="5:5" x14ac:dyDescent="0.2">
      <c r="E570" s="180"/>
    </row>
    <row r="571" spans="5:5" x14ac:dyDescent="0.2">
      <c r="E571" s="180"/>
    </row>
    <row r="572" spans="5:5" x14ac:dyDescent="0.2">
      <c r="E572" s="180"/>
    </row>
    <row r="573" spans="5:5" x14ac:dyDescent="0.2">
      <c r="E573" s="180"/>
    </row>
    <row r="574" spans="5:5" x14ac:dyDescent="0.2">
      <c r="E574" s="180"/>
    </row>
  </sheetData>
  <mergeCells count="67">
    <mergeCell ref="B255:E255"/>
    <mergeCell ref="A247:D247"/>
    <mergeCell ref="B234:E234"/>
    <mergeCell ref="B242:E242"/>
    <mergeCell ref="B236:E236"/>
    <mergeCell ref="B249:E249"/>
    <mergeCell ref="B473:E473"/>
    <mergeCell ref="B470:E470"/>
    <mergeCell ref="B270:E270"/>
    <mergeCell ref="B365:C365"/>
    <mergeCell ref="B275:E275"/>
    <mergeCell ref="B290:E290"/>
    <mergeCell ref="B285:E285"/>
    <mergeCell ref="B357:E357"/>
    <mergeCell ref="B306:E306"/>
    <mergeCell ref="B308:E308"/>
    <mergeCell ref="B316:E316"/>
    <mergeCell ref="B325:E325"/>
    <mergeCell ref="B335:E335"/>
    <mergeCell ref="B349:E349"/>
    <mergeCell ref="B295:E295"/>
    <mergeCell ref="B300:E300"/>
    <mergeCell ref="B366:C366"/>
    <mergeCell ref="B356:C356"/>
    <mergeCell ref="B342:E342"/>
    <mergeCell ref="B183:C183"/>
    <mergeCell ref="B184:E184"/>
    <mergeCell ref="B206:E206"/>
    <mergeCell ref="A253:D253"/>
    <mergeCell ref="A258:D258"/>
    <mergeCell ref="B226:C226"/>
    <mergeCell ref="B212:E212"/>
    <mergeCell ref="B260:E260"/>
    <mergeCell ref="B225:E225"/>
    <mergeCell ref="B231:E231"/>
    <mergeCell ref="B265:E265"/>
    <mergeCell ref="B220:E220"/>
    <mergeCell ref="B244:E244"/>
    <mergeCell ref="B41:E41"/>
    <mergeCell ref="B45:C45"/>
    <mergeCell ref="B161:E161"/>
    <mergeCell ref="B155:E155"/>
    <mergeCell ref="B64:D64"/>
    <mergeCell ref="B73:D73"/>
    <mergeCell ref="B46:E46"/>
    <mergeCell ref="B62:E62"/>
    <mergeCell ref="B75:C75"/>
    <mergeCell ref="B78:C78"/>
    <mergeCell ref="B100:E100"/>
    <mergeCell ref="B129:C129"/>
    <mergeCell ref="B139:E139"/>
    <mergeCell ref="B130:E130"/>
    <mergeCell ref="B115:E115"/>
    <mergeCell ref="B1:D1"/>
    <mergeCell ref="B2:D2"/>
    <mergeCell ref="B15:E15"/>
    <mergeCell ref="B34:C34"/>
    <mergeCell ref="B30:C30"/>
    <mergeCell ref="B175:E175"/>
    <mergeCell ref="B84:E84"/>
    <mergeCell ref="B196:E196"/>
    <mergeCell ref="B191:E191"/>
    <mergeCell ref="B205:C205"/>
    <mergeCell ref="B201:E201"/>
    <mergeCell ref="B169:E169"/>
    <mergeCell ref="B149:E149"/>
    <mergeCell ref="B156:E156"/>
  </mergeCells>
  <phoneticPr fontId="3" type="noConversion"/>
  <pageMargins left="0.2" right="0" top="0" bottom="0" header="0.3" footer="0.3"/>
  <pageSetup paperSize="9" scale="6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workbookViewId="0">
      <selection activeCell="B29" sqref="B29"/>
    </sheetView>
  </sheetViews>
  <sheetFormatPr baseColWidth="10" defaultColWidth="8.6640625" defaultRowHeight="16" x14ac:dyDescent="0.2"/>
  <cols>
    <col min="2" max="2" width="26.1640625" customWidth="1"/>
  </cols>
  <sheetData>
    <row r="1" spans="1:2" x14ac:dyDescent="0.2">
      <c r="A1" s="185"/>
      <c r="B1" s="185"/>
    </row>
    <row r="2" spans="1:2" x14ac:dyDescent="0.2">
      <c r="A2" s="186">
        <v>421411</v>
      </c>
      <c r="B2" s="187">
        <v>12000</v>
      </c>
    </row>
    <row r="3" spans="1:2" x14ac:dyDescent="0.2">
      <c r="A3" s="186">
        <v>421422</v>
      </c>
      <c r="B3" s="188">
        <v>122000</v>
      </c>
    </row>
    <row r="4" spans="1:2" x14ac:dyDescent="0.2">
      <c r="A4" s="186">
        <v>421522</v>
      </c>
      <c r="B4" s="188">
        <v>75000</v>
      </c>
    </row>
    <row r="5" spans="1:2" x14ac:dyDescent="0.2">
      <c r="A5" s="186">
        <v>421619</v>
      </c>
      <c r="B5" s="188">
        <v>4710000</v>
      </c>
    </row>
    <row r="6" spans="1:2" x14ac:dyDescent="0.2">
      <c r="A6" s="186">
        <v>421626</v>
      </c>
      <c r="B6" s="188">
        <v>2579000</v>
      </c>
    </row>
    <row r="7" spans="1:2" x14ac:dyDescent="0.2">
      <c r="A7" s="186">
        <v>422111</v>
      </c>
      <c r="B7" s="188">
        <v>65000</v>
      </c>
    </row>
    <row r="8" spans="1:2" x14ac:dyDescent="0.2">
      <c r="A8" s="186">
        <v>422121</v>
      </c>
      <c r="B8" s="188">
        <v>1022000</v>
      </c>
    </row>
    <row r="9" spans="1:2" x14ac:dyDescent="0.2">
      <c r="A9" s="186">
        <v>422131</v>
      </c>
      <c r="B9" s="188">
        <v>828000</v>
      </c>
    </row>
    <row r="10" spans="1:2" x14ac:dyDescent="0.2">
      <c r="A10" s="186">
        <v>422211</v>
      </c>
      <c r="B10" s="188">
        <v>901000</v>
      </c>
    </row>
    <row r="11" spans="1:2" x14ac:dyDescent="0.2">
      <c r="A11" s="186">
        <v>422221</v>
      </c>
      <c r="B11" s="188">
        <v>11155400</v>
      </c>
    </row>
    <row r="12" spans="1:2" x14ac:dyDescent="0.2">
      <c r="A12" s="186">
        <v>422231</v>
      </c>
      <c r="B12" s="188">
        <v>7668600</v>
      </c>
    </row>
    <row r="13" spans="1:2" x14ac:dyDescent="0.2">
      <c r="A13" s="186">
        <v>422299</v>
      </c>
      <c r="B13" s="188">
        <v>60000</v>
      </c>
    </row>
    <row r="14" spans="1:2" x14ac:dyDescent="0.2">
      <c r="A14" s="186">
        <v>422392</v>
      </c>
      <c r="B14" s="188">
        <v>200000</v>
      </c>
    </row>
    <row r="15" spans="1:2" x14ac:dyDescent="0.2">
      <c r="A15" s="186">
        <v>422911</v>
      </c>
      <c r="B15" s="188">
        <v>100000</v>
      </c>
    </row>
    <row r="16" spans="1:2" x14ac:dyDescent="0.2">
      <c r="A16" s="186">
        <v>423111</v>
      </c>
      <c r="B16" s="188">
        <v>696000</v>
      </c>
    </row>
    <row r="17" spans="1:2" x14ac:dyDescent="0.2">
      <c r="A17" s="186">
        <v>423191</v>
      </c>
      <c r="B17" s="188">
        <v>180000</v>
      </c>
    </row>
    <row r="18" spans="1:2" x14ac:dyDescent="0.2">
      <c r="A18" s="186">
        <v>423322</v>
      </c>
      <c r="B18" s="188">
        <v>1529400</v>
      </c>
    </row>
    <row r="19" spans="1:2" x14ac:dyDescent="0.2">
      <c r="A19" s="186">
        <v>423411</v>
      </c>
      <c r="B19" s="188">
        <v>60000</v>
      </c>
    </row>
    <row r="20" spans="1:2" x14ac:dyDescent="0.2">
      <c r="A20" s="186">
        <v>423413</v>
      </c>
      <c r="B20" s="188">
        <v>3240000</v>
      </c>
    </row>
    <row r="21" spans="1:2" x14ac:dyDescent="0.2">
      <c r="A21" s="186">
        <v>423422</v>
      </c>
      <c r="B21" s="188">
        <v>1332000</v>
      </c>
    </row>
    <row r="22" spans="1:2" x14ac:dyDescent="0.2">
      <c r="A22" s="186">
        <v>423432</v>
      </c>
      <c r="B22" s="188">
        <v>150000</v>
      </c>
    </row>
    <row r="23" spans="1:2" x14ac:dyDescent="0.2">
      <c r="A23" s="189">
        <v>423449</v>
      </c>
      <c r="B23" s="190">
        <v>48000</v>
      </c>
    </row>
    <row r="24" spans="1:2" x14ac:dyDescent="0.2">
      <c r="A24" s="186">
        <v>423599</v>
      </c>
      <c r="B24" s="188">
        <v>6089600</v>
      </c>
    </row>
    <row r="25" spans="1:2" x14ac:dyDescent="0.2">
      <c r="A25" s="186">
        <v>423711</v>
      </c>
      <c r="B25" s="188">
        <v>1815000</v>
      </c>
    </row>
    <row r="26" spans="1:2" x14ac:dyDescent="0.2">
      <c r="A26" s="186">
        <v>423911</v>
      </c>
      <c r="B26" s="188">
        <v>860000</v>
      </c>
    </row>
    <row r="27" spans="1:2" x14ac:dyDescent="0.2">
      <c r="A27" s="186">
        <v>424221</v>
      </c>
      <c r="B27" s="188">
        <v>1096558000</v>
      </c>
    </row>
    <row r="28" spans="1:2" x14ac:dyDescent="0.2">
      <c r="A28" s="186">
        <v>426621</v>
      </c>
      <c r="B28" s="188">
        <v>370000</v>
      </c>
    </row>
    <row r="29" spans="1:2" x14ac:dyDescent="0.2">
      <c r="A29" s="140"/>
      <c r="B29" s="140">
        <f>SUBTOTAL(9,B2:B28)</f>
        <v>1142426000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фЦС ПЛАН 2023.</vt:lpstr>
      <vt:lpstr>Sheet1</vt:lpstr>
      <vt:lpstr>'фЦС ПЛАН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Microsoft Office User</cp:lastModifiedBy>
  <cp:lastPrinted>2023-04-24T08:44:28Z</cp:lastPrinted>
  <dcterms:created xsi:type="dcterms:W3CDTF">2015-01-09T09:45:15Z</dcterms:created>
  <dcterms:modified xsi:type="dcterms:W3CDTF">2023-05-16T13:39:14Z</dcterms:modified>
</cp:coreProperties>
</file>