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showInkAnnotation="0" autoCompressPictures="0"/>
  <mc:AlternateContent xmlns:mc="http://schemas.openxmlformats.org/markup-compatibility/2006">
    <mc:Choice Requires="x15">
      <x15ac:absPath xmlns:x15ac="http://schemas.microsoft.com/office/spreadsheetml/2010/11/ac" url="C:\Users\Bojan\Desktop\"/>
    </mc:Choice>
  </mc:AlternateContent>
  <xr:revisionPtr revIDLastSave="0" documentId="13_ncr:1_{B1FBFCC4-842C-4E78-8B0E-226AC15F573D}" xr6:coauthVersionLast="47" xr6:coauthVersionMax="47" xr10:uidLastSave="{00000000-0000-0000-0000-000000000000}"/>
  <bookViews>
    <workbookView xWindow="-120" yWindow="-120" windowWidth="29040" windowHeight="15840" tabRatio="793" xr2:uid="{00000000-000D-0000-FFFF-FFFF00000000}"/>
  </bookViews>
  <sheets>
    <sheet name="фЦС ПЛАН 2023." sheetId="6" r:id="rId1"/>
    <sheet name="Sheet1" sheetId="7" r:id="rId2"/>
  </sheets>
  <definedNames>
    <definedName name="_ftn1" localSheetId="0">'фЦС ПЛАН 2023.'!#REF!</definedName>
    <definedName name="_ftnref1" localSheetId="0">'фЦС ПЛАН 2023.'!#REF!</definedName>
    <definedName name="_xlnm.Print_Area" localSheetId="0">'фЦС ПЛАН 2023.'!$A$1:$E$546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E284" i="6" l="1"/>
  <c r="D18" i="6"/>
  <c r="D51" i="6"/>
  <c r="D71" i="6"/>
  <c r="D208" i="6"/>
  <c r="E253" i="6"/>
  <c r="D287" i="6"/>
  <c r="D461" i="6"/>
  <c r="B29" i="7" l="1"/>
  <c r="D110" i="6"/>
  <c r="D404" i="6"/>
  <c r="D395" i="6"/>
  <c r="D385" i="6"/>
  <c r="D405" i="6"/>
  <c r="D452" i="6" l="1"/>
  <c r="D457" i="6"/>
  <c r="D432" i="6"/>
  <c r="D423" i="6"/>
  <c r="D414" i="6"/>
  <c r="D396" i="6"/>
  <c r="D386" i="6"/>
  <c r="D375" i="6"/>
  <c r="D49" i="6" l="1"/>
  <c r="D48" i="6"/>
  <c r="D53" i="6"/>
  <c r="D57" i="6"/>
  <c r="E470" i="6" l="1"/>
  <c r="E194" i="6"/>
  <c r="E173" i="6"/>
  <c r="D145" i="6"/>
  <c r="D121" i="6"/>
  <c r="D118" i="6"/>
  <c r="C117" i="6" l="1"/>
  <c r="D209" i="6"/>
  <c r="E210" i="6" s="1"/>
  <c r="D451" i="6"/>
  <c r="D450" i="6"/>
  <c r="D449" i="6"/>
  <c r="D448" i="6"/>
  <c r="D447" i="6"/>
  <c r="D441" i="6"/>
  <c r="D439" i="6"/>
  <c r="D442" i="6"/>
  <c r="D440" i="6"/>
  <c r="D438" i="6"/>
  <c r="D437" i="6"/>
  <c r="D262" i="6"/>
  <c r="D241" i="6"/>
  <c r="D158" i="6"/>
  <c r="D25" i="6"/>
  <c r="E443" i="6" l="1"/>
  <c r="E38" i="6"/>
  <c r="E453" i="6"/>
  <c r="E458" i="6"/>
  <c r="D302" i="6" l="1"/>
  <c r="D297" i="6"/>
  <c r="E298" i="6" s="1"/>
  <c r="E288" i="6"/>
  <c r="E525" i="6"/>
  <c r="E523" i="6"/>
  <c r="C521" i="6"/>
  <c r="C515" i="6"/>
  <c r="C512" i="6"/>
  <c r="C510" i="6"/>
  <c r="C497" i="6"/>
  <c r="C489" i="6"/>
  <c r="C487" i="6"/>
  <c r="C485" i="6"/>
  <c r="C483" i="6"/>
  <c r="C480" i="6"/>
  <c r="C478" i="6"/>
  <c r="D75" i="6"/>
  <c r="D179" i="6"/>
  <c r="D178" i="6"/>
  <c r="D50" i="6"/>
  <c r="D177" i="6"/>
  <c r="D134" i="6"/>
  <c r="D133" i="6"/>
  <c r="D132" i="6"/>
  <c r="D67" i="6"/>
  <c r="D54" i="6"/>
  <c r="C5" i="6"/>
  <c r="D43" i="6"/>
  <c r="C506" i="6"/>
  <c r="C502" i="6" s="1"/>
  <c r="E462" i="6"/>
  <c r="E293" i="6"/>
  <c r="E258" i="6"/>
  <c r="E247" i="6"/>
  <c r="E229" i="6"/>
  <c r="E159" i="6"/>
  <c r="D107" i="6"/>
  <c r="D102" i="6"/>
  <c r="D89" i="6"/>
  <c r="D419" i="6"/>
  <c r="D181" i="6"/>
  <c r="D180" i="6"/>
  <c r="D431" i="6"/>
  <c r="D430" i="6"/>
  <c r="D429" i="6"/>
  <c r="D428" i="6"/>
  <c r="D238" i="6"/>
  <c r="E242" i="6" s="1"/>
  <c r="D166" i="6"/>
  <c r="D93" i="6"/>
  <c r="D95" i="6"/>
  <c r="D96" i="6"/>
  <c r="D87" i="6"/>
  <c r="D88" i="6"/>
  <c r="D68" i="6"/>
  <c r="D70" i="6"/>
  <c r="D80" i="6"/>
  <c r="D81" i="6"/>
  <c r="D103" i="6"/>
  <c r="D106" i="6"/>
  <c r="D108" i="6"/>
  <c r="D109" i="6"/>
  <c r="D123" i="6"/>
  <c r="D124" i="6"/>
  <c r="D125" i="6"/>
  <c r="D126" i="6"/>
  <c r="D127" i="6"/>
  <c r="D136" i="6"/>
  <c r="D141" i="6"/>
  <c r="E147" i="6" s="1"/>
  <c r="D151" i="6"/>
  <c r="E154" i="6" s="1"/>
  <c r="D163" i="6"/>
  <c r="D164" i="6"/>
  <c r="D186" i="6"/>
  <c r="E189" i="6" s="1"/>
  <c r="D198" i="6"/>
  <c r="E199" i="6" s="1"/>
  <c r="D203" i="6"/>
  <c r="E204" i="6" s="1"/>
  <c r="E215" i="6"/>
  <c r="E223" i="6"/>
  <c r="E234" i="6"/>
  <c r="E263" i="6"/>
  <c r="D267" i="6"/>
  <c r="E268" i="6" s="1"/>
  <c r="E273" i="6"/>
  <c r="E303" i="6"/>
  <c r="D312" i="6"/>
  <c r="D313" i="6"/>
  <c r="D320" i="6"/>
  <c r="D321" i="6"/>
  <c r="D322" i="6"/>
  <c r="D327" i="6"/>
  <c r="D329" i="6"/>
  <c r="F329" i="6" s="1"/>
  <c r="D330" i="6"/>
  <c r="D332" i="6"/>
  <c r="D338" i="6"/>
  <c r="D339" i="6"/>
  <c r="D345" i="6"/>
  <c r="E347" i="6" s="1"/>
  <c r="D351" i="6"/>
  <c r="D353" i="6"/>
  <c r="D354" i="6"/>
  <c r="D360" i="6"/>
  <c r="D361" i="6"/>
  <c r="D370" i="6"/>
  <c r="D371" i="6"/>
  <c r="D372" i="6"/>
  <c r="D373" i="6"/>
  <c r="D374" i="6"/>
  <c r="D380" i="6"/>
  <c r="D381" i="6"/>
  <c r="D382" i="6"/>
  <c r="D383" i="6"/>
  <c r="D384" i="6"/>
  <c r="D391" i="6"/>
  <c r="D392" i="6"/>
  <c r="D393" i="6"/>
  <c r="D394" i="6"/>
  <c r="D401" i="6"/>
  <c r="D402" i="6"/>
  <c r="D403" i="6"/>
  <c r="D410" i="6"/>
  <c r="D411" i="6"/>
  <c r="D412" i="6"/>
  <c r="D413" i="6"/>
  <c r="D420" i="6"/>
  <c r="D421" i="6"/>
  <c r="D422" i="6"/>
  <c r="E305" i="6" l="1"/>
  <c r="E376" i="6"/>
  <c r="E113" i="6"/>
  <c r="E44" i="6"/>
  <c r="D66" i="6"/>
  <c r="E82" i="6" s="1"/>
  <c r="E387" i="6"/>
  <c r="E415" i="6"/>
  <c r="E323" i="6"/>
  <c r="E397" i="6"/>
  <c r="E333" i="6"/>
  <c r="E406" i="6"/>
  <c r="E340" i="6"/>
  <c r="E424" i="6"/>
  <c r="E355" i="6"/>
  <c r="E167" i="6"/>
  <c r="C122" i="6"/>
  <c r="E128" i="6" s="1"/>
  <c r="E433" i="6"/>
  <c r="E182" i="6"/>
  <c r="E362" i="6"/>
  <c r="E137" i="6"/>
  <c r="E60" i="6"/>
  <c r="D92" i="6"/>
  <c r="E529" i="6"/>
  <c r="C11" i="6" s="1"/>
  <c r="C529" i="6"/>
  <c r="E314" i="6"/>
  <c r="D86" i="6"/>
  <c r="C533" i="6"/>
  <c r="E364" i="6" l="1"/>
  <c r="C536" i="6" s="1"/>
  <c r="C9" i="6" s="1"/>
  <c r="E98" i="6"/>
  <c r="E217" i="6" s="1"/>
  <c r="C538" i="6"/>
  <c r="C10" i="6"/>
  <c r="E472" i="6"/>
  <c r="C537" i="6" s="1"/>
  <c r="C539" i="6"/>
  <c r="C535" i="6"/>
  <c r="C7" i="6"/>
  <c r="E473" i="6" l="1"/>
  <c r="C8" i="6"/>
  <c r="C6" i="6" l="1"/>
  <c r="C534" i="6"/>
  <c r="C541" i="6" s="1"/>
  <c r="C13" i="6" l="1"/>
  <c r="D7" i="6" s="1"/>
  <c r="D9" i="6" l="1"/>
  <c r="D10" i="6"/>
  <c r="D8" i="6"/>
  <c r="D11" i="6"/>
  <c r="D6" i="6"/>
  <c r="D5" i="6"/>
  <c r="D13" i="6" l="1"/>
</calcChain>
</file>

<file path=xl/sharedStrings.xml><?xml version="1.0" encoding="utf-8"?>
<sst xmlns="http://schemas.openxmlformats.org/spreadsheetml/2006/main" count="688" uniqueCount="519">
  <si>
    <t>ТОТАЛ</t>
  </si>
  <si>
    <t>Слање филмова и осталих материјала за селекцију</t>
  </si>
  <si>
    <t>Путни трошкови</t>
  </si>
  <si>
    <t>Оброци</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</si>
  <si>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</si>
  <si>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</si>
  <si>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</si>
  <si>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</si>
  <si>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</si>
  <si>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</si>
  <si>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</si>
  <si>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</si>
  <si>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</si>
  <si>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</si>
  <si>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</si>
  <si>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</si>
  <si>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</si>
  <si>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</si>
  <si>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</si>
  <si>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</si>
  <si>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</si>
  <si>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Радни ручкови</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</si>
  <si>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</si>
  <si>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</si>
  <si>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</si>
  <si>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</si>
  <si>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</si>
  <si>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</si>
  <si>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</si>
  <si>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 xml:space="preserve">Дугометражни играни филм </t>
  </si>
  <si>
    <t>Комерцијални филм</t>
  </si>
  <si>
    <t>Филм са националном темом</t>
  </si>
  <si>
    <t>Развој и унапређење сценарија</t>
  </si>
  <si>
    <t>Преддигитализација и дигитализација</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</si>
  <si>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</si>
  <si>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</si>
  <si>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</si>
  <si>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</si>
  <si>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</si>
  <si>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</si>
  <si>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</si>
  <si>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</si>
  <si>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</si>
  <si>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</si>
  <si>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</si>
  <si>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</si>
  <si>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</si>
  <si>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</si>
  <si>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</si>
  <si>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</si>
  <si>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</si>
  <si>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</si>
  <si>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</si>
  <si>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</si>
  <si>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</si>
  <si>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</si>
  <si>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</si>
  <si>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</si>
  <si>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</si>
  <si>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</si>
  <si>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</si>
  <si>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</si>
  <si>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</si>
  <si>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</si>
  <si>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</si>
  <si>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</si>
  <si>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</si>
  <si>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</si>
  <si>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</si>
  <si>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</si>
  <si>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</si>
  <si>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</si>
  <si>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</si>
  <si>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</si>
  <si>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</si>
  <si>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</si>
  <si>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</si>
  <si>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</si>
  <si>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</si>
  <si>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</si>
  <si>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</si>
  <si>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</si>
  <si>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</si>
  <si>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</si>
  <si>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</si>
  <si>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</si>
  <si>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</si>
  <si>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</si>
  <si>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</si>
  <si>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</si>
  <si>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</si>
  <si>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ТОТАЛ РЕДОВНА ДЕЛАТНОСТ И ИНВЕСТИЦИЈЕ</t>
  </si>
  <si>
    <t xml:space="preserve">ТОТАЛ ПРОГРАМИ </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</si>
  <si>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</si>
  <si>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Студентски завршни филм</t>
  </si>
  <si>
    <t>Ауторска права</t>
  </si>
  <si>
    <t>Дугометражни документарни филм</t>
  </si>
  <si>
    <t>Краткометражни играни филм</t>
  </si>
  <si>
    <t>Краткометражни анимирани филм</t>
  </si>
  <si>
    <t>Краткометражни документарни филм</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</si>
  <si>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</si>
  <si>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</si>
  <si>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</si>
  <si>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</si>
  <si>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</si>
  <si>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</si>
  <si>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</si>
  <si>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</si>
  <si>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</si>
  <si>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</si>
  <si>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</si>
  <si>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Трошкови телефона</t>
  </si>
  <si>
    <t xml:space="preserve">Организација мрежних догађаја, награде и остале услуге из области културе </t>
  </si>
  <si>
    <t>Лекутра/коректура</t>
  </si>
  <si>
    <t>Прелом и дизајн</t>
  </si>
  <si>
    <t>Ауторски хонорар</t>
  </si>
  <si>
    <t>Филмски центар Србиjе  и струковно удружење документариста, ДокСрбиjа организуjу два пута годишње (пролеће и jесен) тродневне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</si>
  <si>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Експериментални филм и видео арт</t>
  </si>
  <si>
    <t>Фонд за подршку, подстицање и промоцију српског филма у земљи и свету</t>
  </si>
  <si>
    <t xml:space="preserve">Дневнице за представникe ФЦС </t>
  </si>
  <si>
    <t>Оглашавање у страним и домаћим филмским часописима и ПР</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</si>
  <si>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</si>
  <si>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</si>
  <si>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</si>
  <si>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</si>
  <si>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</si>
  <si>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Фонд за подршку посебним програмима</t>
  </si>
  <si>
    <t>Стимулације (гледаност, дистрибутера домаћег филма, учешћа домаћих филмова на страним фестивалима и приказиваштва)</t>
  </si>
  <si>
    <t>Смештај за учеснике</t>
  </si>
  <si>
    <t>Филмски центар Србије у сарадњи са Независним Филмским центром - Филмарт из Пожеге стратешки помаже развој филмске критике и критичког промишљања код младих филмских професионалаца, развијањем портала ”Филмоскопија”, који је део веб стране Филмског центра Србије.
”Филмоскопиjа” у свом садржаjу нуди критике домаћих и страних остварења, есеjе коjи пропитуjу феномене у друштву користећи филм или телевизиjу као jедну од главних референци и теориjске огледе који ће у фокусу имати како историjу филма, тако и актуелна остварења и њихов значаj. Поред тога, интервjуи с филмским радницима и значаjним именима у култури, отвориће простор за диjалог и размену мишљења.</t>
  </si>
  <si>
    <t>ФИЛМОСКОПИЈА</t>
  </si>
  <si>
    <t>Развој пројеката дугометражног играног и документарног филма</t>
  </si>
  <si>
    <t>Дизајн и прелом</t>
  </si>
  <si>
    <t>Занатске радионице за неформално образовање</t>
  </si>
  <si>
    <t>Одржавање радионица за преквалификацију и дошколовавање суфицитарних кадрова у кинематографији</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</si>
  <si>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</si>
  <si>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</si>
  <si>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</si>
  <si>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</si>
  <si>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ПР - промоција активности ФЦС</t>
  </si>
  <si>
    <t>%</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</si>
  <si>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</si>
  <si>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</si>
  <si>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</si>
  <si>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</si>
  <si>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Подршка "industry" сектору домаћих филмских фестивала</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</si>
  <si>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и информисања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који се организују током трајања фестивала. Постојање квалитеног "industry" сектора у оквиру датог фестивала,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</si>
  <si>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Montreal,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</si>
  <si>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Путни трошкови - 4 авионскe карте</t>
  </si>
  <si>
    <t>Путни трошкови - 6 авионских карата</t>
  </si>
  <si>
    <t xml:space="preserve">САРАДЊА СА ФРАНЦУСКОМ ПО СПОРАЗУМУ У ОБЛАСТИ ФИЛМА </t>
  </si>
  <si>
    <t>Радионица за анимирани филм - партнерство са Филмским центром Србије</t>
  </si>
  <si>
    <t>Трошкови организације 4 радионице</t>
  </si>
  <si>
    <t>Смештај у Annecy (Фестивал анимираног филма)</t>
  </si>
  <si>
    <t>Реализације сарадње између Француске и Србије на основу Уговора које су потписале Владе Србије и Француске приликом посете г. Макрона. Циљ је повећање броја билатералних копродукција, унапређење квалитета сарадње између две кинематографије, као и помоћ и подршка француских експерата у области анимације, централизације бископских Box office, аудио-визуелног закона и других области кинематографије.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</si>
  <si>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сноси трошкове путa учесника Talent Campusa из Србије и спонзорише награду за најбољи пројекат на CineLinku.</t>
  </si>
  <si>
    <t>Aкредитације за учеснике</t>
  </si>
  <si>
    <t>ДОМАЋА САРАДЊA</t>
  </si>
  <si>
    <t>Чланство у Европској филмској промоцији (European Film Promotion)</t>
  </si>
  <si>
    <t>Оглашавање и ПР у страним и домаћим филмским часописима у циљу промоције српске кинематографије.</t>
  </si>
  <si>
    <t>МЕЂУНАРОДНА САРАДЊА</t>
  </si>
  <si>
    <t>TОТАЛ ДОМАЋА САРАДЊА</t>
  </si>
  <si>
    <t>ДОМАЋА САРАДЊА</t>
  </si>
  <si>
    <t>Дигитализација и рестаурација  U - MATIC трака</t>
  </si>
  <si>
    <t>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</si>
  <si>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</si>
  <si>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</si>
  <si>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</si>
  <si>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</si>
  <si>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</si>
  <si>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</si>
  <si>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</si>
  <si>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</si>
  <si>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2.7.</t>
  </si>
  <si>
    <t>2.8.</t>
  </si>
  <si>
    <t>2.5.</t>
  </si>
  <si>
    <t>2.10.</t>
  </si>
  <si>
    <t>3.1.</t>
  </si>
  <si>
    <t>3.2.</t>
  </si>
  <si>
    <t>3.3.</t>
  </si>
  <si>
    <t>3.4.</t>
  </si>
  <si>
    <t>3.5.</t>
  </si>
  <si>
    <t>3.6.</t>
  </si>
  <si>
    <t>3.7.</t>
  </si>
  <si>
    <t>3.8.</t>
  </si>
  <si>
    <t>3.9.</t>
  </si>
  <si>
    <t>3.12.</t>
  </si>
  <si>
    <t>3.13.</t>
  </si>
  <si>
    <t>3.15.</t>
  </si>
  <si>
    <t>Материјали за саобраћај</t>
  </si>
  <si>
    <t>Капитално одржавање зграда и објеката</t>
  </si>
  <si>
    <t>2.18.</t>
  </si>
  <si>
    <t>Помоћ у медицинском лечењу запосленог</t>
  </si>
  <si>
    <t>5.000 ЕУР.</t>
  </si>
  <si>
    <t>500 EUR.</t>
  </si>
  <si>
    <t>30.000 RSD.</t>
  </si>
  <si>
    <t>10.000 EUR.</t>
  </si>
  <si>
    <t>5.000 EUR.</t>
  </si>
  <si>
    <t>4400 EUR.</t>
  </si>
  <si>
    <t>3500 EUR.</t>
  </si>
  <si>
    <t>2500 EUR.</t>
  </si>
  <si>
    <t>800 EUR.</t>
  </si>
  <si>
    <t>3000 EUR.</t>
  </si>
  <si>
    <t>2000 EUR.</t>
  </si>
  <si>
    <t>1000 EUR.</t>
  </si>
  <si>
    <t>1200 EUR.</t>
  </si>
  <si>
    <t>1230 EUR.</t>
  </si>
  <si>
    <t>2.000 EUR.</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</si>
  <si>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2022. треба платити заостале обавезе, а током септембра 2022. треба платити обавезе за организациjу учешћа на Маркету 2023.</t>
  </si>
  <si>
    <t>Трошкови на штанду и репрезентација</t>
  </si>
  <si>
    <t>Штанд и најам опреме за штанд (штанд, панели, намештај media wall)</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</si>
  <si>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</si>
  <si>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</si>
  <si>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</si>
  <si>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</si>
  <si>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</si>
  <si>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</si>
  <si>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500 ЕУР.</t>
  </si>
  <si>
    <t>Дигитализација и архивирање штампане архивске грађе (Годишњаци, дописи и сл.)</t>
  </si>
  <si>
    <t>Рестаурација и дигитализација филмски свезака</t>
  </si>
  <si>
    <t>АФИФС</t>
  </si>
  <si>
    <t xml:space="preserve">Трошкови организације </t>
  </si>
  <si>
    <t xml:space="preserve">ТОТАЛ </t>
  </si>
  <si>
    <t>120.000 RSD.</t>
  </si>
  <si>
    <t xml:space="preserve">”Марко Глушац” наградa се додељује најперспективнијем млађем монтажеру дугих и кратких, играних и документарних форми.
То признање већ седму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</si>
  <si>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Награда ”Марко Глушац”</t>
  </si>
  <si>
    <t>2.19.</t>
  </si>
  <si>
    <t>15 EUR х 4 дана*3 особе</t>
  </si>
  <si>
    <t>3.000 EUR.</t>
  </si>
  <si>
    <t>Анимација (Радионица за анимацију) у Француској</t>
  </si>
  <si>
    <t>Како би се унапредио садржаj саjта Филмског центра Србиjе и осталих медиjа где ФЦС обjављуjе своjе вести идеjа jе да се ангажуjе уредник коjи би уређивао и прослеђивао медиjске садржаjе.</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</si>
  <si>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2022.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</si>
  <si>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3.10.</t>
  </si>
  <si>
    <t>Скенирање фотографија, постера и докумената</t>
  </si>
  <si>
    <t>4000 EUR.</t>
  </si>
  <si>
    <t>1500 EUR.</t>
  </si>
  <si>
    <t>Тираж: 500 страна</t>
  </si>
  <si>
    <t>Тираж: 500</t>
  </si>
  <si>
    <t>Тираж:  500</t>
  </si>
  <si>
    <t>Подршка  (Филмски центар Србије ко-издавач)</t>
  </si>
  <si>
    <t xml:space="preserve">Огласи у новинама, израда плаката </t>
  </si>
  <si>
    <t>ФОНД ЗА ПОМОЋ ДРУГИМ ИЗДАВАЧИМА</t>
  </si>
  <si>
    <t>3.11.</t>
  </si>
  <si>
    <t>САЛА СРПСКОГ ФИЛМА</t>
  </si>
  <si>
    <t>Организација, израда, објављивање и промоција текстова за потребе портала ”Филмоскопија”</t>
  </si>
  <si>
    <t>Авио карте гостију</t>
  </si>
  <si>
    <t>Смештај гостију у Београду</t>
  </si>
  <si>
    <t>Атеље Варан</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</si>
  <si>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</si>
  <si>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</si>
  <si>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</si>
  <si>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</si>
  <si>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2.000 EUR</t>
  </si>
  <si>
    <t>1175 EUR.</t>
  </si>
  <si>
    <t>ПРИКАЗ ПЛАНИРАНИХ РАСХОДА ФЦС У 2023.</t>
  </si>
  <si>
    <t>КОНКУРСИ - План и програм  2023.</t>
  </si>
  <si>
    <t>2000 ЕУР</t>
  </si>
  <si>
    <t>Фонд за подршку</t>
  </si>
  <si>
    <t>Регионална и прекогранична сарадња са другим десковима</t>
  </si>
  <si>
    <t xml:space="preserve">Организација промотивног догађаја </t>
  </si>
  <si>
    <t>Презентација MEDIA потпрограма</t>
  </si>
  <si>
    <t xml:space="preserve">Освежење за учеснике </t>
  </si>
  <si>
    <t>Едукативни догађаји</t>
  </si>
  <si>
    <t>Хонорари за предаваче</t>
  </si>
  <si>
    <t>Закуп простора и опреме</t>
  </si>
  <si>
    <t>Оброци за госте</t>
  </si>
  <si>
    <t>Присуство на домаћим филмским фестивалима</t>
  </si>
  <si>
    <t>Присуство на интернационалним филмским маркетима</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</si>
  <si>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</si>
  <si>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</si>
  <si>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Штампа (обим страна:30; тираж: 1500 )</t>
  </si>
  <si>
    <t>Промоција MEDIA деска</t>
  </si>
  <si>
    <t>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током следећих догађаја: Fest Forward и два догађаја ће накнадно бити одређени</t>
  </si>
  <si>
    <t>Промотивни материјал (торбе, свеске, оловке, цегери)</t>
  </si>
  <si>
    <t>Брошуре MEDIA деска</t>
  </si>
  <si>
    <t>Рекламирање у каталозима и на сајтовима филмских фестивала</t>
  </si>
  <si>
    <t>Путни трошкови  (2 особа x 2 путовања)</t>
  </si>
  <si>
    <t>Закуп опреме и простора (2 догађаја)</t>
  </si>
  <si>
    <t>Организација семинара, тренинга и предавања (4 инострана предавача)</t>
  </si>
  <si>
    <t>600 EUR</t>
  </si>
  <si>
    <t xml:space="preserve">1000 EUR </t>
  </si>
  <si>
    <t>Администрирање МЕДИА сајта</t>
  </si>
  <si>
    <t xml:space="preserve">1500 EUR </t>
  </si>
  <si>
    <t>Дневнице (2 особе x 2 дана )</t>
  </si>
  <si>
    <t>200 EUR x 2 огласа</t>
  </si>
  <si>
    <t>Присуство на 2 интернационална филмска маркета у трајању до 3 дана:</t>
  </si>
  <si>
    <t>Дневнице (2 особе x 3 дана x 2 фестивала )</t>
  </si>
  <si>
    <t>Хотелски смештај (2 особа x 3 ноћења x 2 фестивала)</t>
  </si>
  <si>
    <t xml:space="preserve">15 EUR x 3 дана x 4 фестивала </t>
  </si>
  <si>
    <t>350 EUR x 2 особа  x 2 фестивала</t>
  </si>
  <si>
    <t>110 EUR x 3 ноћења x 2 особа х 2 фестивала</t>
  </si>
  <si>
    <t>Путни  трошкови (2 особе x 2 путовања)</t>
  </si>
  <si>
    <t>Посета 2 домаћа филмска фестивала и организација MEDIA деск инфо штанда</t>
  </si>
  <si>
    <t xml:space="preserve">20 EUR x 2 дана x 2 фестивала x 2 особа </t>
  </si>
  <si>
    <t>Хотелски смештај (2 особе x 2 ноћења х 2 програма)</t>
  </si>
  <si>
    <t>100 EUR x 2 ноћи x 2 особа х  2 програма</t>
  </si>
  <si>
    <t>Дневнице (2 особе x 8 дана)</t>
  </si>
  <si>
    <t>150 EUR х 2 брошуре</t>
  </si>
  <si>
    <t>120 EUR х 2 брошуре</t>
  </si>
  <si>
    <t>250 EUR х 2 брошуре</t>
  </si>
  <si>
    <t>Путни трошкови (2 особе x 2 путовања)</t>
  </si>
  <si>
    <t>100 EUR x 3 дана x 2 особе из ФЦС-а</t>
  </si>
  <si>
    <t>300.000 RSD.</t>
  </si>
  <si>
    <t>15 EUR х 10 дана x 5 особе</t>
  </si>
  <si>
    <t>80.000 RSD x 5 особе</t>
  </si>
  <si>
    <t>15.000 RSD  x 5 особе</t>
  </si>
  <si>
    <t xml:space="preserve">250.000 RSD. </t>
  </si>
  <si>
    <t>I део трошкова за Маркет 2024, септембар 2023.</t>
  </si>
  <si>
    <t>60.000 RSD * 6 особа</t>
  </si>
  <si>
    <t>Смештај за представнике ФЦС</t>
  </si>
  <si>
    <t>700 EUR</t>
  </si>
  <si>
    <t>400 EUR</t>
  </si>
  <si>
    <t>1.000 EUR.</t>
  </si>
  <si>
    <t>У оквиру ИДФА - Међународног фестивала документарног филма у Амстердаму (новембар 2023),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</si>
  <si>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Producers on the Move, април-мај 2023.</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</si>
  <si>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почетком маjа 2023. </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</si>
  <si>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</si>
  <si>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Чланство за 2023.</t>
  </si>
  <si>
    <t>ФРКА - филмска радионица Крагујевац је пројекат у којем полазници, кроз предавања и практичне вежбе, упознају филмско и ТВ стваралаштво. Радионица је замишљена по најсавременијим моделима светских филмских радионица. Кроз теорију се упознају са 7 области настанка филма, а потом снимају кратки филм по сценарију насталим током рада на радионици.</t>
  </si>
  <si>
    <t>ФРКА - филмска радионица</t>
  </si>
  <si>
    <t>Интеракција: студентски филмски камп  је програм намењен студентима филмских академија и подразумева продукцију кратких документараца.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</si>
  <si>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Интеракција - студентски филмски камп</t>
  </si>
  <si>
    <t>5.1.</t>
  </si>
  <si>
    <t>5.2.</t>
  </si>
  <si>
    <t>5.3.</t>
  </si>
  <si>
    <t>5.4.</t>
  </si>
  <si>
    <t>5.7.</t>
  </si>
  <si>
    <t>Филмски центар Србије током 2023. године намерава да распише конкурсе у 21 конкурснe категоријe. Неке од конкурсних категорија биће расписане и два пута у току године. Наставља се са расписивањем конкурса у категоријама за националну тему и комерцијални репертоарски филм. Почев од 2017. године, а по налогу Државне ревизије, Филмски центар Србије уплаћује средства добитницима на рачуне отворене код Управе за трезор. За све конкурсне категорије, уплаћују се комплетна средства. Начин финансирања дугометражних играних филмова у претходним годинама подразумевао је  вишегодишње финасирање и исплату средства по траншама, те из тог разлога постоји посебна позиција за дуговања из које се исплаћују средства за дугометражне игране филмове који су добили подршку ранијих  година.</t>
  </si>
  <si>
    <t>Франуско-српски сусрети на Фестивалу ауторског филма</t>
  </si>
  <si>
    <t>15.000 EUR.</t>
  </si>
  <si>
    <t>10.000 EUR</t>
  </si>
  <si>
    <t xml:space="preserve">Котизација </t>
  </si>
  <si>
    <t xml:space="preserve">Авионске карте за српске аниматоре (3 особе) </t>
  </si>
  <si>
    <t>Путни трошкови за 3 представника ФЦС</t>
  </si>
  <si>
    <t>60.000 RSD * 3 особа</t>
  </si>
  <si>
    <t>800.000 RSD</t>
  </si>
  <si>
    <t>40.000 RSD x 3 особе</t>
  </si>
  <si>
    <t>150 EUR * 3 особе * 3 ноћења</t>
  </si>
  <si>
    <t>Tрошкови промоције номинованог филма</t>
  </si>
  <si>
    <t>400.000 RSD</t>
  </si>
  <si>
    <t>3.000.000 RSD</t>
  </si>
  <si>
    <t>Дугометражни филм за децу и омладину</t>
  </si>
  <si>
    <t xml:space="preserve">25.000 RSD x 8 особа </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</si>
  <si>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кратких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су четири српска филма добила подршку за развој.</t>
  </si>
  <si>
    <t>Студио за анимирани филм Фуруна и Омладинска престоница Европе Нови Сад (ОПЕНС) планираjу да у 2023. години одрже 4 радионице анимациjе за средњошколце и студенте из Воjводине и целе Србиjе са траjањем од по 3 месеца. ОПЕНС jе краjем 2020. године у сарадњи са Матицом Српском одабрао 6 познатих српских пословица, а крајем 2021. године расписаће конкурс за средње школе Воjводине да ученици напишу сценарио на тему тих 6 пословица. Студио Фуруна ће одабрати по 7 до 9 полазника по радионици и са њима уз детаљну супервизиjу и менторство произвести по jедан анимирани филм на свака 3 месеца. Млади талентовани аниматори ће на наjбољи начин проћи кроз све фазе израде кратког филма: развоj, продукциjу, обраду и све принципе и техничке аспекте овог креативног процеса.</t>
  </si>
  <si>
    <t>У оквиру индустријског програма Black Night FIlm Festival у Талину, ФЦС представља модел функционисања - подршке кинематографији, са акцентом на филмове намењене публици и жанровске филмове, не запостављајући art house филмове. 
Паралелено са учешћем на Индустријскoм дeлу програмa фестивала у Талину, планирана је панорама новог српског филма - излог савремениог филмског стваралаштва у Србији - жанровска разноврсност, генерацијска заступљеност, младе снаге. ФЦС планира да понуди неколико пројеката који би били укључени у корпус Маркет пројеката.</t>
  </si>
  <si>
    <t>15 EUR x 4 дана x 3 особе</t>
  </si>
  <si>
    <t>Фонд за подршку развоја пројекта</t>
  </si>
  <si>
    <t xml:space="preserve">15 EUR x 2 дана х 2 путовања x 3 особе из ФЦС-а </t>
  </si>
  <si>
    <t xml:space="preserve">100 EUR x 2  дана х 2 путовања x 3 особе из ФЦС-а </t>
  </si>
  <si>
    <t>Понта Лопуд Фестивал организуjе редитељске, глумачке и сниматељске маjсторске курсеве, специjална предавања и практичне радионице за посебно одабране младе филмске професионалце из региjе. Учесници се бираjу на основу досадашњег радног искуства и показаног талента, а имаjу могућност да учествуjу на квалитетним курсевима и радионицама коjе посебно за њих држе светски филмски професионалци и вишеструки добитници филмских награда, попут Оскара и Златне палме (гостуjући предавачи у 2022. години били су Joel Coen, Frances McDormand и Monica Lenczewska). Партнерство Филмског центра Србиjе са Фестивалом Понта Лопуд, пружа талентима из Србиjе jединствену прилику за стицање нових знања, развоj успешних кариjера као и за стварање дугорочних професионалних  и приjатељских односа, нарочито имаjући у виду да jе Понта Лопуд Фестивал jедини такав у региону.</t>
  </si>
  <si>
    <t xml:space="preserve">Авио карте (2 редитеља, 2 глумца, 2 студента и 2 представника ФЦС-а) </t>
  </si>
  <si>
    <t>15 EUR x 4 дана x 2 особе из ФЦС-а</t>
  </si>
  <si>
    <t>Понта Лопуд Фестивал (стручна радионица)</t>
  </si>
  <si>
    <t xml:space="preserve">Иницијативом три државе – Србија, Северна Македонија и Албанија договорена је сарадња на промоцији земаља, која укључује и промоцију кинематографија, заједничку платформу за промоцију филмова  и заједничка улагања. Због заједничког интереса за развој локалних привреда, три балканска лидера договорила су стварање економске зоне, која би додатно унапредила политичке и економске односе и јачала културне везе међу народима. </t>
  </si>
  <si>
    <t>Смештај представника ФЦС-а у Северну Македонији и Албанији</t>
  </si>
  <si>
    <t xml:space="preserve">Нове манифестациjе и иницијативе </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</si>
  <si>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2021. и 2022.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</si>
  <si>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2.17.</t>
  </si>
  <si>
    <t>2.16.</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</si>
  <si>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</si>
  <si>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 xml:space="preserve">Уредништво сајта ФЦС-а и друштвених мрежа </t>
  </si>
  <si>
    <t xml:space="preserve">Уређење сајта ФЦС и текстова на друштвеним мрежама </t>
  </si>
  <si>
    <t xml:space="preserve">Организација 4 инфодана у Србији: општа презентација MEDIA потпрограма.   </t>
  </si>
  <si>
    <t>23 EUR x 2 дана  x 2 особа х 4 догађаја</t>
  </si>
  <si>
    <t>Хотелски смештај  (2 особе x 2 ноћења x 4 догађаја)</t>
  </si>
  <si>
    <t>90 EUR x 2 ноћење x 2 особе x 4 догађаја</t>
  </si>
  <si>
    <t>10 EUR x 4 догађаја x 50 особа</t>
  </si>
  <si>
    <t xml:space="preserve">Организација и учешће 4 регионалне прекограничне сарадње са другим десковима из региона (Словенија, Хрватска, Босна и Херцеговина, Македонија, Црна Гора, Бугарска и Албанија) у трајању од 4 дана. </t>
  </si>
  <si>
    <t xml:space="preserve">Дневнице (2 особе x 3  дана x 4 сарадње ) </t>
  </si>
  <si>
    <t>15 EUR х 3 дана х 2 особе х 4 програма</t>
  </si>
  <si>
    <t>Хотелски смештај  (2 особе x 8 ноћења)</t>
  </si>
  <si>
    <t>90 EUR х 2 особе  х 8 ноћења</t>
  </si>
  <si>
    <t>Авио карте (2 особе x 4 путовања)</t>
  </si>
  <si>
    <t>250 EUR x 2 особе х 4 путовања</t>
  </si>
  <si>
    <t>600 EUR х 2 програма</t>
  </si>
  <si>
    <t>Путни трошкови предавача (6 предавача)</t>
  </si>
  <si>
    <t>350 EUR х 6 предавача</t>
  </si>
  <si>
    <t>Хотелски смештај за предаваче семинара (6 особе х 2 ноћења)</t>
  </si>
  <si>
    <t>110 EUR  x 2  ноћења х 6 особа</t>
  </si>
  <si>
    <t xml:space="preserve">600 EUR х 4 догађаја </t>
  </si>
  <si>
    <t xml:space="preserve">300 EUR x 6 предавача </t>
  </si>
  <si>
    <t>30 EUR  x 6 предавача х 2 дана</t>
  </si>
  <si>
    <t>Освежење за учеснике (6 догађаја)</t>
  </si>
  <si>
    <t>15 EUR x 30 гостију х 6 догађаја</t>
  </si>
  <si>
    <t>ТОТАЛ  MEDIA ДЕСК СРБИЈА</t>
  </si>
  <si>
    <t>MEDIA ДЕСК СРБИЈА</t>
  </si>
  <si>
    <t>БЕОГРАДСКИ МЕЂУНАРОДНИ САЈАМ КЊИГА 2023.</t>
  </si>
  <si>
    <t>Мањинске копродукције</t>
  </si>
  <si>
    <t xml:space="preserve">60.000 RSD x 10 особа </t>
  </si>
  <si>
    <t>Авио карте (7 продуцената и редитеља + 3 представника ФЦС-а)</t>
  </si>
  <si>
    <t>15 ЕUR * 2 дана х 2 особе</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</si>
  <si>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2023.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t>
  </si>
  <si>
    <t xml:space="preserve">ИЗДАВАШТВО - план и програм 2023. </t>
  </si>
  <si>
    <t>Израда индеска</t>
  </si>
  <si>
    <t>5000 EUR.</t>
  </si>
  <si>
    <t>Ауторски додатак Иван Велисављевић</t>
  </si>
  <si>
    <t>Скенирање фрејмова и визуелног материјала</t>
  </si>
  <si>
    <t>900 EUR.</t>
  </si>
  <si>
    <t>Михајло Илић: ФИЛМОЛОГИЈА</t>
  </si>
  <si>
    <t>Транскрипт разговора</t>
  </si>
  <si>
    <t>850 EUR.</t>
  </si>
  <si>
    <t>250.000 РСД</t>
  </si>
  <si>
    <t>150.000 РСД</t>
  </si>
  <si>
    <t>Опремање штанда</t>
  </si>
  <si>
    <t>100.000 РСД</t>
  </si>
  <si>
    <t>Хонорари за ангажоване продавце</t>
  </si>
  <si>
    <t>200.000РСД</t>
  </si>
  <si>
    <t>Тираж:  300</t>
  </si>
  <si>
    <t>Дарко Бајић: РАЗГОВОРИ СА ЕМИНЕНТНИМ РЕДИТЕЉИМА</t>
  </si>
  <si>
    <t>Плате, додаци и накнаде запослених</t>
  </si>
  <si>
    <t>6.700 EUR.</t>
  </si>
  <si>
    <t>400.000 RSD.</t>
  </si>
  <si>
    <t>35.000 RSD х 4 путовања  x 2 особе</t>
  </si>
  <si>
    <t>30.000 RSD  х 2 путовања</t>
  </si>
  <si>
    <t>Мајкл Рабигер: РЕЖИРАТИ/DIRECTING</t>
  </si>
  <si>
    <t>Ђорђе Бајић, Зоран Јанковић: КРИТИЧКИ ВОДИЧ КРОЗ СРПСКИ ФИЛМ  2018-2022</t>
  </si>
  <si>
    <t>800  EUR.</t>
  </si>
  <si>
    <t>Скенирање докумената</t>
  </si>
  <si>
    <t xml:space="preserve">Горан Гаврић: ФИЛОЗОФИЈА И ФИЛМ </t>
  </si>
  <si>
    <t>Слободан Шијан: ПИСЦИ У БИОСКОПУ (друго, допуњено и проширено издање)</t>
  </si>
  <si>
    <t>MEDIA</t>
  </si>
  <si>
    <t xml:space="preserve">Репрограмирање рата са претходних конкурса </t>
  </si>
  <si>
    <t>Дебитантски дугометражни филм (први и други филм редитеља)</t>
  </si>
  <si>
    <t>1) Отворени Балкан (Србија, Северна Македонија и Албанија)</t>
  </si>
  <si>
    <t>Копрудукцијски маркет у Паризу</t>
  </si>
  <si>
    <t>Путни трошкови за представнике српских пројеката и представнике ФЦС</t>
  </si>
  <si>
    <t xml:space="preserve">Смештаj учесника </t>
  </si>
  <si>
    <t>14 гостију x 2 ноћења x 170 EUR</t>
  </si>
  <si>
    <t>12 гостију x 50 EUR x 1 ручак</t>
  </si>
  <si>
    <t>Трансфер у локалу (од и до аеродрома)</t>
  </si>
  <si>
    <t>14 гостију x 70.000 RSD</t>
  </si>
  <si>
    <t>Учешће у трошковима партнерства са ДокСрбија</t>
  </si>
  <si>
    <t>30.000 EUR</t>
  </si>
  <si>
    <t>8.000 EUR</t>
  </si>
  <si>
    <t>400  ЕUR</t>
  </si>
  <si>
    <t>Путни трошкови (1 представника ФЦС и представник документариста + 2 продуцента)</t>
  </si>
  <si>
    <t>15 EUR x 1 особе x 4 дана</t>
  </si>
  <si>
    <t>500.000 RSD.</t>
  </si>
  <si>
    <t>3) Фестивал српског филма у Чикагу</t>
  </si>
  <si>
    <t>4) Дани српског филма у Пули, у сарадњи са Српским културним центром</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</si>
  <si>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је од 16. до 19. јуна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</si>
  <si>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2.9.</t>
  </si>
  <si>
    <t>Фонд за подршку реализације програма</t>
  </si>
  <si>
    <t>Партнерство у реализацији програма</t>
  </si>
  <si>
    <t>2.12.</t>
  </si>
  <si>
    <t xml:space="preserve">40.000 EUR. </t>
  </si>
  <si>
    <t>2.13.</t>
  </si>
  <si>
    <t>2.14.</t>
  </si>
  <si>
    <t>2.15.</t>
  </si>
  <si>
    <t xml:space="preserve">Израда плана и програма три недеље радионица за занимање по секторима ( четири сектора друге године - камера, режија, продукција и специјални ефекти ) и предавачи </t>
  </si>
  <si>
    <t xml:space="preserve">4 х 500.000 RSD. </t>
  </si>
  <si>
    <t xml:space="preserve">5.5. </t>
  </si>
  <si>
    <t xml:space="preserve">5.6. </t>
  </si>
  <si>
    <t>5.9.</t>
  </si>
  <si>
    <t>2) ReActing as a Star</t>
  </si>
  <si>
    <t>Током 2021. године 7 домаћих филмских фестивала који приказују дугометражне игране филмове формирало је Мрежу која има за циљ да заједничким деловањем допринесу развојз приказивања и домаће кинематографије уопште. Чланови Мреже су: Фестивал европског филма Палић, Лесковачки интернационални фестивал филмске режије, Фестивал глумачких остбварења домаћег играног филма "Филмки сусрети Ниш", Фестивал ауторског филма Београд, Фестивал филмског сценарија Врњачка бања, Међународни филмски фестивал сниматељских остварења "Слика у покрету" и Шумадијски интернационални фестивал дебитантског филма. Циљеви Мреже су: 1.Умрежавање и сарадња чланица;  2. Промоција сваке чланице и њених издања; 3. Заједничка промоција; 4. Одржавање струковних радионица; 5. Додела струковних награда. Меморандум од сарадњи асоцијација филмских фестивала Србије.</t>
  </si>
  <si>
    <t xml:space="preserve">Подршка организацији - Фестивал филмског сценарија Врњачка Бања </t>
  </si>
  <si>
    <t xml:space="preserve">Подршка организацији - Европски филмски фестивал Палић </t>
  </si>
  <si>
    <t xml:space="preserve">Подршка организацији - Филмски сусрети Ниш </t>
  </si>
  <si>
    <t xml:space="preserve">Подршка организацији -  Шумадијски интернационални филмски фестивал </t>
  </si>
  <si>
    <t xml:space="preserve">Подршка организацији - Фестивал ауторског филма </t>
  </si>
  <si>
    <t xml:space="preserve">Подршка организацији - ЛИФФЕ Лексовачки интернационални фестивал филмске режије </t>
  </si>
  <si>
    <t xml:space="preserve">Потписан и ратификован споразум  између Србије и Италије о сарадњи у области кинематографије, који обухвата све нивое сарадње: развој пројеката,ко-продукцију, ко-дистрибуцију филмова, обезбеђивање средстава  за развој пројеката обезбеђују обе стране, потписнице споразума. Средства се додељују на основу конкура за развој  четири пројекта годишње - по два италијанска већинска и два српска већинска пројекта. </t>
  </si>
  <si>
    <t>Emmanuel Oberg: The Screenwriters` Troubleshooter</t>
  </si>
  <si>
    <t>Програм сарадње у области кинематографије Србије и Италије  - развој пројеката (Билатерални споразум о сарадњи између Србије и Италије)</t>
  </si>
  <si>
    <t>Подршка организацији - Слика у покрету</t>
  </si>
  <si>
    <t xml:space="preserve">Најам опреме </t>
  </si>
  <si>
    <t xml:space="preserve">Најам простора </t>
  </si>
  <si>
    <t>Авио карте (2 представника ФЦС-а, путовање у  Северну Македонију и Албанију)</t>
  </si>
  <si>
    <t xml:space="preserve">25.000 RSD x  2 особе из ФЦС-а х 2 путовања </t>
  </si>
  <si>
    <t>30.000 RSD x 3 особе</t>
  </si>
  <si>
    <t>90 EUR x 3 дана x 3 особе</t>
  </si>
  <si>
    <t>15 EUR x 4 дана x 3 особe</t>
  </si>
  <si>
    <t>500 ЕUR x 4</t>
  </si>
  <si>
    <t>45.000 RSD x 4 особа</t>
  </si>
  <si>
    <t>220 EUR x 4 особе x 3 ноћења</t>
  </si>
  <si>
    <t>5000 EUR</t>
  </si>
  <si>
    <t>Зграде и грађевински објекти</t>
  </si>
  <si>
    <t>Опрема за саобраћај</t>
  </si>
  <si>
    <t>Опрема за образовање, науку, културу и спорт</t>
  </si>
  <si>
    <t xml:space="preserve">Мрежа киноприказивача </t>
  </si>
  <si>
    <t>Дигитализација, обрада, припрема филмских плаката и постера период 1980-1989</t>
  </si>
  <si>
    <t>Надокнаде за 7 чланова жирија</t>
  </si>
  <si>
    <t>Дугометражни анимирани филм</t>
  </si>
  <si>
    <t>Недељко Ковачић:  Жика Митровић</t>
  </si>
  <si>
    <t xml:space="preserve">Тираж: 500 </t>
  </si>
  <si>
    <t>SYD FIELD: SCREEN WRITING</t>
  </si>
  <si>
    <t>600 EUR.</t>
  </si>
  <si>
    <t>700 EUR.</t>
  </si>
  <si>
    <t>300 EUR.</t>
  </si>
  <si>
    <t>5.10.</t>
  </si>
  <si>
    <t>5.11.</t>
  </si>
  <si>
    <t>Кристофер Воглер: Митска структура за писце</t>
  </si>
  <si>
    <t>Тираж: 500 (репринт)</t>
  </si>
  <si>
    <t>5.12.</t>
  </si>
  <si>
    <t>Путни трошкови - 2 авионских карата</t>
  </si>
  <si>
    <t>150.000 RSD * 6 особа</t>
  </si>
  <si>
    <t>100 x 1 особа</t>
  </si>
  <si>
    <t>30.000 RSD x 1 чланова ФЦС</t>
  </si>
  <si>
    <t>15 EUR x 3 дана  x 3 особe</t>
  </si>
  <si>
    <t>60.000 RSD.</t>
  </si>
  <si>
    <t>2x30.000 RSD</t>
  </si>
  <si>
    <t>58.330 EUR</t>
  </si>
  <si>
    <t>Авио карте (Загреб, Љубљана, Трст - 2 авио карате)</t>
  </si>
  <si>
    <t>2.200.0000 RSD.</t>
  </si>
  <si>
    <t>3 х 10.000 EUR</t>
  </si>
  <si>
    <t>1.000.000 RSD</t>
  </si>
  <si>
    <t>5.8.</t>
  </si>
  <si>
    <t xml:space="preserve">II део трошкова за Маркет  2023. </t>
  </si>
  <si>
    <t>Талин (Black Night Film Festival) -  Србија у фокусу</t>
  </si>
  <si>
    <t>15 EUR * 2 особе  * 8 дана</t>
  </si>
  <si>
    <t>Авио превоз 1  представника ФЦС-а</t>
  </si>
  <si>
    <t>Дуговања 2022</t>
  </si>
  <si>
    <t>За Филмски центар Србије</t>
  </si>
  <si>
    <t>У Београду, 29.08.2023.</t>
  </si>
  <si>
    <t>Иван Карл, в.д. директора</t>
  </si>
  <si>
    <t>(према Анексу 1 уговора закљученог између Министарства културе и ФЦС број 642-02-30/2023/1 од 5.9.2023.године)</t>
  </si>
  <si>
    <t>ПЛАН И ПРОГРАМ Филмског центра Србије за 2023. годину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</si>
</sst>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theme="1"/>
      <name val="Arial Narrow"/>
      <family val="2"/>
    </font>
    <font>
      <b/>
      <sz val="12"/>
      <color rgb="FF0070C0"/>
      <name val="Arial Narrow"/>
      <family val="2"/>
    </font>
    <font>
      <sz val="12"/>
      <name val="Calibri"/>
      <family val="2"/>
      <charset val="238"/>
      <scheme val="minor"/>
    </font>
    <font>
      <b/>
      <sz val="12"/>
      <name val="Arial Narrow"/>
      <family val="2"/>
      <charset val="238"/>
    </font>
    <font>
      <b/>
      <sz val="12"/>
      <color theme="1"/>
      <name val="Arial Narrow"/>
      <family val="2"/>
      <charset val="238"/>
    </font>
    <font>
      <sz val="12"/>
      <color theme="1"/>
      <name val="Arial Narrow"/>
      <family val="2"/>
      <charset val="238"/>
    </font>
    <font>
      <sz val="12"/>
      <name val="Arial Narrow"/>
      <family val="2"/>
      <charset val="23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rgb="FF000000"/>
      </patternFill>
    </fill>
  </fills>
  <borders count="5">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thin">
        <color auto="1"/>
      </left>
      <right style="thin">
        <color auto="1"/>
      </right>
      <top style="thin">
        <color auto="1"/>
      </top>
      <bottom style="thin">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46">
    <xf numFmtId="0" fontId="0" fillId="0" borderId="0" xfId="0"/>
    <xf numFmtId="0" fontId="4" fillId="0" borderId="0" xfId="0" applyFont="1"/>
    <xf numFmtId="0" fontId="5"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4" fontId="4" fillId="3" borderId="1" xfId="0" applyNumberFormat="1" applyFont="1" applyFill="1" applyBorder="1" applyAlignment="1">
      <alignment vertical="center"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4" fillId="0" borderId="1" xfId="0" applyFont="1" applyBorder="1" applyAlignment="1">
      <alignment horizont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horizontal="left" wrapText="1"/>
    </xf>
    <xf numFmtId="1" fontId="4" fillId="6" borderId="1" xfId="0" applyNumberFormat="1" applyFont="1" applyFill="1" applyBorder="1" applyAlignment="1">
      <alignment vertical="center" wrapText="1"/>
    </xf>
    <xf numFmtId="0" fontId="4" fillId="2" borderId="1" xfId="0" applyFont="1" applyFill="1" applyBorder="1" applyAlignment="1">
      <alignment horizontal="right" vertical="center" wrapText="1"/>
    </xf>
    <xf numFmtId="0" fontId="12" fillId="0" borderId="0" xfId="0" applyFont="1"/>
    <xf numFmtId="4" fontId="4" fillId="6" borderId="1" xfId="0" applyNumberFormat="1" applyFont="1" applyFill="1" applyBorder="1" applyAlignment="1">
      <alignment vertical="center"/>
    </xf>
    <xf numFmtId="0" fontId="5" fillId="6" borderId="1" xfId="0" applyFont="1" applyFill="1" applyBorder="1" applyAlignment="1">
      <alignment horizontal="right"/>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0" fontId="4" fillId="3" borderId="1" xfId="0" applyFont="1" applyFill="1" applyBorder="1" applyAlignment="1">
      <alignment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5" fillId="0" borderId="1" xfId="457"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5" fillId="6" borderId="1" xfId="0" applyNumberFormat="1" applyFont="1" applyFill="1" applyBorder="1" applyAlignment="1">
      <alignment horizontal="right" vertical="top" wrapText="1"/>
    </xf>
    <xf numFmtId="4" fontId="11" fillId="6" borderId="1" xfId="0" applyNumberFormat="1" applyFont="1" applyFill="1" applyBorder="1" applyAlignment="1">
      <alignment vertical="center" wrapText="1"/>
    </xf>
    <xf numFmtId="3" fontId="11" fillId="6" borderId="1" xfId="0" applyNumberFormat="1" applyFont="1" applyFill="1" applyBorder="1" applyAlignment="1">
      <alignment horizontal="left" vertical="top" wrapText="1"/>
    </xf>
    <xf numFmtId="0" fontId="11" fillId="6" borderId="1" xfId="0" applyFont="1" applyFill="1" applyBorder="1" applyAlignment="1">
      <alignment vertical="center" wrapText="1"/>
    </xf>
    <xf numFmtId="0" fontId="10" fillId="2" borderId="1" xfId="0" applyFont="1" applyFill="1" applyBorder="1" applyAlignment="1">
      <alignment horizontal="left" vertical="center" wrapText="1"/>
    </xf>
    <xf numFmtId="0" fontId="5" fillId="6" borderId="1" xfId="0" applyFont="1" applyFill="1" applyBorder="1" applyAlignment="1">
      <alignment horizontal="left" wrapText="1"/>
    </xf>
    <xf numFmtId="0" fontId="5" fillId="6" borderId="1" xfId="0" applyFont="1" applyFill="1" applyBorder="1" applyAlignment="1">
      <alignment vertical="center"/>
    </xf>
    <xf numFmtId="0" fontId="5" fillId="3" borderId="1" xfId="0" applyFont="1" applyFill="1" applyBorder="1" applyAlignment="1">
      <alignment vertical="center"/>
    </xf>
    <xf numFmtId="0" fontId="5" fillId="0" borderId="1" xfId="0" applyFont="1" applyBorder="1" applyAlignment="1">
      <alignment vertical="center"/>
    </xf>
    <xf numFmtId="0" fontId="4" fillId="3" borderId="1" xfId="0" applyFont="1" applyFill="1" applyBorder="1" applyAlignment="1">
      <alignment vertical="center" wrapText="1"/>
    </xf>
    <xf numFmtId="0" fontId="4" fillId="0" borderId="0" xfId="0" applyFont="1" applyAlignment="1">
      <alignment vertical="center"/>
    </xf>
    <xf numFmtId="0" fontId="13" fillId="6" borderId="1" xfId="0" applyFont="1" applyFill="1" applyBorder="1" applyAlignment="1">
      <alignment vertical="center" wrapText="1"/>
    </xf>
    <xf numFmtId="0" fontId="5" fillId="7" borderId="1" xfId="0" applyFont="1" applyFill="1" applyBorder="1" applyAlignment="1">
      <alignment horizontal="left" wrapText="1"/>
    </xf>
    <xf numFmtId="3" fontId="4" fillId="7" borderId="1" xfId="0" applyNumberFormat="1" applyFont="1" applyFill="1" applyBorder="1" applyAlignment="1">
      <alignment horizontal="left" vertical="top" wrapText="1"/>
    </xf>
    <xf numFmtId="3" fontId="11" fillId="7" borderId="1" xfId="0" applyNumberFormat="1" applyFont="1" applyFill="1" applyBorder="1" applyAlignment="1">
      <alignment horizontal="left" vertical="top" wrapText="1"/>
    </xf>
    <xf numFmtId="4" fontId="4" fillId="7" borderId="1" xfId="0" applyNumberFormat="1" applyFont="1" applyFill="1" applyBorder="1" applyAlignment="1">
      <alignment vertical="center" wrapText="1"/>
    </xf>
    <xf numFmtId="4" fontId="11" fillId="7" borderId="1" xfId="0" applyNumberFormat="1" applyFont="1" applyFill="1" applyBorder="1" applyAlignment="1">
      <alignment vertical="center" wrapText="1"/>
    </xf>
    <xf numFmtId="4" fontId="5" fillId="7" borderId="1" xfId="0" applyNumberFormat="1" applyFont="1" applyFill="1" applyBorder="1" applyAlignment="1">
      <alignment vertical="center" wrapText="1"/>
    </xf>
    <xf numFmtId="0" fontId="4" fillId="6" borderId="1" xfId="0" applyFont="1" applyFill="1" applyBorder="1" applyAlignment="1">
      <alignment horizontal="right" vertical="center" wrapText="1"/>
    </xf>
    <xf numFmtId="0" fontId="5" fillId="6" borderId="1" xfId="0" applyFont="1" applyFill="1" applyBorder="1"/>
    <xf numFmtId="0" fontId="14" fillId="2" borderId="1" xfId="0" applyFont="1" applyFill="1" applyBorder="1" applyAlignment="1">
      <alignment horizontal="right" vertical="center" wrapText="1"/>
    </xf>
    <xf numFmtId="0" fontId="14" fillId="6" borderId="1" xfId="0" applyFont="1" applyFill="1" applyBorder="1" applyAlignment="1">
      <alignment vertical="center"/>
    </xf>
    <xf numFmtId="4" fontId="12" fillId="6" borderId="1" xfId="0" applyNumberFormat="1" applyFont="1" applyFill="1" applyBorder="1" applyAlignment="1">
      <alignment vertical="center" wrapText="1"/>
    </xf>
    <xf numFmtId="4" fontId="12" fillId="6" borderId="1" xfId="0" applyNumberFormat="1" applyFont="1" applyFill="1" applyBorder="1" applyAlignment="1">
      <alignment vertical="center"/>
    </xf>
    <xf numFmtId="0" fontId="14" fillId="3" borderId="1" xfId="0" applyFont="1" applyFill="1" applyBorder="1" applyAlignment="1">
      <alignment vertical="center"/>
    </xf>
    <xf numFmtId="4" fontId="12" fillId="3" borderId="1" xfId="0" applyNumberFormat="1" applyFont="1" applyFill="1" applyBorder="1" applyAlignment="1">
      <alignment vertical="center" wrapText="1"/>
    </xf>
    <xf numFmtId="4" fontId="12" fillId="3" borderId="1" xfId="0" applyNumberFormat="1" applyFont="1" applyFill="1" applyBorder="1" applyAlignment="1">
      <alignment vertical="center"/>
    </xf>
    <xf numFmtId="0" fontId="14" fillId="0" borderId="1" xfId="0" applyFont="1" applyBorder="1" applyAlignment="1">
      <alignment vertical="center"/>
    </xf>
    <xf numFmtId="0" fontId="14" fillId="0" borderId="1" xfId="0" applyFont="1" applyBorder="1"/>
    <xf numFmtId="0" fontId="12" fillId="0" borderId="1" xfId="0" applyFont="1" applyBorder="1" applyAlignment="1">
      <alignment wrapText="1"/>
    </xf>
    <xf numFmtId="4" fontId="12" fillId="0" borderId="1" xfId="0" applyNumberFormat="1" applyFont="1" applyBorder="1" applyAlignment="1">
      <alignment horizontal="right" vertical="center" wrapText="1"/>
    </xf>
    <xf numFmtId="4" fontId="12" fillId="0" borderId="1" xfId="0" applyNumberFormat="1" applyFont="1" applyBorder="1" applyAlignment="1">
      <alignment vertical="center"/>
    </xf>
    <xf numFmtId="0" fontId="12" fillId="0" borderId="1" xfId="0" applyFont="1" applyBorder="1"/>
    <xf numFmtId="0" fontId="14" fillId="4" borderId="1" xfId="0" applyFont="1" applyFill="1" applyBorder="1" applyAlignment="1">
      <alignment horizontal="right" wrapText="1"/>
    </xf>
    <xf numFmtId="4" fontId="12" fillId="4" borderId="1" xfId="0" applyNumberFormat="1" applyFont="1" applyFill="1" applyBorder="1" applyAlignment="1">
      <alignment vertical="center"/>
    </xf>
    <xf numFmtId="4" fontId="14" fillId="4" borderId="1" xfId="0" applyNumberFormat="1" applyFont="1" applyFill="1" applyBorder="1" applyAlignment="1">
      <alignment vertical="center" wrapText="1"/>
    </xf>
    <xf numFmtId="0" fontId="12" fillId="0" borderId="1" xfId="0" applyFont="1" applyBorder="1" applyAlignment="1">
      <alignment vertical="center"/>
    </xf>
    <xf numFmtId="3" fontId="14" fillId="3" borderId="1" xfId="458" applyNumberFormat="1" applyFont="1" applyFill="1" applyBorder="1" applyAlignment="1">
      <alignment horizontal="left" vertical="center"/>
    </xf>
    <xf numFmtId="49" fontId="14" fillId="3" borderId="1" xfId="458" applyNumberFormat="1" applyFont="1" applyFill="1" applyBorder="1" applyAlignment="1">
      <alignment horizontal="center" vertical="center" wrapText="1"/>
    </xf>
    <xf numFmtId="0" fontId="12" fillId="3" borderId="1" xfId="0" applyFont="1" applyFill="1" applyBorder="1" applyAlignment="1">
      <alignment vertical="center"/>
    </xf>
    <xf numFmtId="3" fontId="14" fillId="0" borderId="1" xfId="458" applyNumberFormat="1" applyFont="1" applyBorder="1" applyAlignment="1">
      <alignment horizontal="center" vertical="center"/>
    </xf>
    <xf numFmtId="3" fontId="14" fillId="0" borderId="1" xfId="458" applyNumberFormat="1" applyFont="1" applyBorder="1" applyAlignment="1">
      <alignment horizontal="center" vertical="center" wrapText="1"/>
    </xf>
    <xf numFmtId="3" fontId="14" fillId="0" borderId="1" xfId="458" applyNumberFormat="1" applyFont="1" applyBorder="1" applyAlignment="1">
      <alignment vertical="center" wrapText="1"/>
    </xf>
    <xf numFmtId="3" fontId="14" fillId="0" borderId="1" xfId="459" applyNumberFormat="1" applyFont="1" applyBorder="1" applyAlignment="1">
      <alignment vertical="center"/>
    </xf>
    <xf numFmtId="4" fontId="14" fillId="6" borderId="1" xfId="0" applyNumberFormat="1" applyFont="1" applyFill="1" applyBorder="1" applyAlignment="1">
      <alignment vertical="center"/>
    </xf>
    <xf numFmtId="0" fontId="12" fillId="0" borderId="1" xfId="458" applyFont="1" applyBorder="1" applyAlignment="1">
      <alignment horizontal="left" vertical="center" wrapText="1"/>
    </xf>
    <xf numFmtId="4" fontId="12" fillId="0" borderId="1" xfId="459" applyNumberFormat="1" applyFont="1" applyBorder="1" applyAlignment="1" applyProtection="1">
      <alignment vertical="center"/>
      <protection locked="0"/>
    </xf>
    <xf numFmtId="4" fontId="14" fillId="0" borderId="1" xfId="459" applyNumberFormat="1" applyFont="1" applyBorder="1" applyAlignment="1">
      <alignment vertical="center"/>
    </xf>
    <xf numFmtId="0" fontId="12" fillId="0" borderId="1" xfId="458" applyFont="1" applyBorder="1" applyAlignment="1">
      <alignment vertical="center" wrapText="1"/>
    </xf>
    <xf numFmtId="0" fontId="14" fillId="0" borderId="1" xfId="458" applyFont="1" applyBorder="1" applyAlignment="1">
      <alignment vertical="center"/>
    </xf>
    <xf numFmtId="0" fontId="12" fillId="0" borderId="1" xfId="458" applyFont="1" applyBorder="1" applyAlignment="1">
      <alignment vertical="center"/>
    </xf>
    <xf numFmtId="4" fontId="14" fillId="0" borderId="1" xfId="0" applyNumberFormat="1" applyFont="1" applyBorder="1" applyAlignment="1">
      <alignment vertical="center"/>
    </xf>
    <xf numFmtId="0" fontId="14" fillId="0" borderId="1" xfId="458" applyFont="1" applyBorder="1" applyAlignment="1">
      <alignment vertical="center" wrapText="1"/>
    </xf>
    <xf numFmtId="4" fontId="5" fillId="6" borderId="1" xfId="0" applyNumberFormat="1" applyFont="1" applyFill="1" applyBorder="1"/>
    <xf numFmtId="4" fontId="5" fillId="0" borderId="0" xfId="0" applyNumberFormat="1" applyFont="1" applyAlignment="1">
      <alignment vertical="center"/>
    </xf>
    <xf numFmtId="4" fontId="4" fillId="0" borderId="1" xfId="0" applyNumberFormat="1" applyFont="1" applyBorder="1"/>
    <xf numFmtId="0" fontId="4" fillId="8" borderId="0" xfId="0" applyFont="1" applyFill="1" applyAlignment="1">
      <alignment vertical="center"/>
    </xf>
    <xf numFmtId="4" fontId="4" fillId="6" borderId="1" xfId="0" applyNumberFormat="1" applyFont="1" applyFill="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5" fillId="7" borderId="1" xfId="0" applyFont="1" applyFill="1" applyBorder="1" applyAlignment="1">
      <alignment vertical="center"/>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4" fontId="15" fillId="0" borderId="1" xfId="0" applyNumberFormat="1" applyFont="1" applyBorder="1" applyAlignment="1">
      <alignment vertical="center"/>
    </xf>
    <xf numFmtId="0" fontId="0" fillId="0" borderId="1" xfId="0" applyBorder="1" applyAlignment="1">
      <alignment vertical="center" wrapText="1"/>
    </xf>
    <xf numFmtId="0" fontId="0" fillId="6" borderId="1" xfId="0" applyFill="1" applyBorder="1" applyAlignment="1">
      <alignment vertical="center" wrapText="1"/>
    </xf>
    <xf numFmtId="0" fontId="14" fillId="0" borderId="1" xfId="0" applyFont="1" applyBorder="1" applyAlignment="1">
      <alignment wrapText="1"/>
    </xf>
    <xf numFmtId="4" fontId="5" fillId="0" borderId="1" xfId="458" applyNumberFormat="1" applyFont="1" applyBorder="1" applyAlignment="1">
      <alignment vertical="center"/>
    </xf>
    <xf numFmtId="0" fontId="5" fillId="0" borderId="2" xfId="0" applyFont="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4" fontId="4" fillId="6" borderId="3" xfId="0" applyNumberFormat="1" applyFont="1" applyFill="1" applyBorder="1" applyAlignment="1">
      <alignment vertical="center" wrapText="1"/>
    </xf>
    <xf numFmtId="0" fontId="4" fillId="6" borderId="3" xfId="0" applyFont="1" applyFill="1" applyBorder="1" applyAlignment="1">
      <alignment vertical="center"/>
    </xf>
    <xf numFmtId="0" fontId="4" fillId="6" borderId="3" xfId="0" applyFont="1" applyFill="1" applyBorder="1" applyAlignment="1">
      <alignment vertical="center" wrapText="1"/>
    </xf>
    <xf numFmtId="0" fontId="4" fillId="0" borderId="3" xfId="0" applyFont="1" applyBorder="1" applyAlignment="1">
      <alignment vertical="center"/>
    </xf>
    <xf numFmtId="4" fontId="4" fillId="0" borderId="1" xfId="459" applyNumberFormat="1" applyFont="1" applyBorder="1" applyAlignment="1" applyProtection="1">
      <alignment vertical="center"/>
      <protection locked="0"/>
    </xf>
    <xf numFmtId="4" fontId="5" fillId="0" borderId="1" xfId="459" applyNumberFormat="1" applyFont="1" applyBorder="1" applyAlignment="1">
      <alignment vertical="center"/>
    </xf>
    <xf numFmtId="4" fontId="17" fillId="0" borderId="1" xfId="459" applyNumberFormat="1" applyFont="1" applyBorder="1" applyAlignment="1" applyProtection="1">
      <alignment vertical="center"/>
      <protection locked="0"/>
    </xf>
    <xf numFmtId="3" fontId="18" fillId="0" borderId="1" xfId="458" applyNumberFormat="1" applyFont="1" applyBorder="1" applyAlignment="1">
      <alignment vertical="center" wrapText="1"/>
    </xf>
    <xf numFmtId="4" fontId="18" fillId="0" borderId="1" xfId="459" applyNumberFormat="1" applyFont="1" applyBorder="1" applyAlignment="1">
      <alignment vertical="center"/>
    </xf>
    <xf numFmtId="0" fontId="19" fillId="0" borderId="1" xfId="0" applyFont="1" applyBorder="1" applyAlignment="1">
      <alignment vertical="center"/>
    </xf>
    <xf numFmtId="0" fontId="19" fillId="0" borderId="1" xfId="458" applyFont="1" applyBorder="1" applyAlignment="1">
      <alignment vertical="center"/>
    </xf>
    <xf numFmtId="4" fontId="17" fillId="0" borderId="1" xfId="459" applyNumberFormat="1" applyFont="1" applyBorder="1" applyAlignment="1">
      <alignment vertical="center"/>
    </xf>
    <xf numFmtId="0" fontId="18" fillId="0" borderId="1" xfId="458" applyFont="1" applyBorder="1" applyAlignment="1">
      <alignment vertical="center" wrapText="1"/>
    </xf>
    <xf numFmtId="0" fontId="19" fillId="0" borderId="1" xfId="458" applyFont="1" applyBorder="1" applyAlignment="1">
      <alignment vertical="center" wrapText="1"/>
    </xf>
    <xf numFmtId="4" fontId="18" fillId="0" borderId="1" xfId="0" applyNumberFormat="1" applyFont="1" applyBorder="1" applyAlignment="1">
      <alignment vertical="center"/>
    </xf>
    <xf numFmtId="4" fontId="20" fillId="0" borderId="1" xfId="0" applyNumberFormat="1" applyFont="1" applyBorder="1" applyAlignment="1">
      <alignment vertical="center"/>
    </xf>
    <xf numFmtId="4" fontId="11" fillId="6" borderId="1" xfId="0" applyNumberFormat="1" applyFont="1" applyFill="1" applyBorder="1" applyAlignment="1">
      <alignment vertical="center"/>
    </xf>
    <xf numFmtId="0" fontId="11" fillId="6" borderId="1" xfId="0" applyFont="1" applyFill="1" applyBorder="1" applyAlignment="1">
      <alignment horizontal="left" vertical="center" wrapText="1"/>
    </xf>
    <xf numFmtId="0" fontId="11" fillId="6" borderId="0" xfId="0" applyFont="1" applyFill="1"/>
    <xf numFmtId="4" fontId="10" fillId="6" borderId="1" xfId="0" applyNumberFormat="1" applyFont="1" applyFill="1" applyBorder="1" applyAlignment="1">
      <alignment vertical="center"/>
    </xf>
    <xf numFmtId="0" fontId="10" fillId="6" borderId="1" xfId="0" applyFont="1" applyFill="1" applyBorder="1" applyAlignment="1">
      <alignment horizontal="left" vertical="center" wrapText="1"/>
    </xf>
    <xf numFmtId="0" fontId="10" fillId="6" borderId="0" xfId="0" applyFont="1" applyFill="1"/>
    <xf numFmtId="1" fontId="11" fillId="6" borderId="1" xfId="0" applyNumberFormat="1" applyFont="1" applyFill="1" applyBorder="1" applyAlignment="1">
      <alignment vertical="center" wrapText="1"/>
    </xf>
    <xf numFmtId="0" fontId="11" fillId="6" borderId="1" xfId="0" applyFont="1" applyFill="1" applyBorder="1" applyAlignment="1">
      <alignment wrapText="1"/>
    </xf>
    <xf numFmtId="0" fontId="11" fillId="6" borderId="0" xfId="0" applyFont="1" applyFill="1" applyAlignment="1">
      <alignment vertical="center"/>
    </xf>
    <xf numFmtId="0" fontId="11" fillId="0" borderId="0" xfId="0" applyFont="1"/>
    <xf numFmtId="3" fontId="10" fillId="6" borderId="1" xfId="0" applyNumberFormat="1" applyFont="1" applyFill="1" applyBorder="1" applyAlignment="1">
      <alignment wrapText="1"/>
    </xf>
    <xf numFmtId="1" fontId="4" fillId="6" borderId="1" xfId="0" applyNumberFormat="1" applyFont="1" applyFill="1" applyBorder="1"/>
    <xf numFmtId="1" fontId="4" fillId="0" borderId="1" xfId="0" applyNumberFormat="1" applyFont="1" applyBorder="1" applyAlignment="1">
      <alignment vertical="center"/>
    </xf>
    <xf numFmtId="1" fontId="5" fillId="0" borderId="1" xfId="0" applyNumberFormat="1" applyFont="1" applyBorder="1" applyAlignment="1">
      <alignment vertical="center"/>
    </xf>
    <xf numFmtId="1" fontId="11" fillId="0" borderId="1" xfId="0" applyNumberFormat="1" applyFont="1" applyBorder="1" applyAlignment="1">
      <alignment vertical="center"/>
    </xf>
    <xf numFmtId="1" fontId="10" fillId="0" borderId="1" xfId="0" applyNumberFormat="1" applyFont="1" applyBorder="1" applyAlignment="1">
      <alignment vertical="center"/>
    </xf>
    <xf numFmtId="4" fontId="4" fillId="6" borderId="1" xfId="0" applyNumberFormat="1" applyFont="1" applyFill="1" applyBorder="1" applyAlignment="1">
      <alignment wrapText="1"/>
    </xf>
    <xf numFmtId="0" fontId="0" fillId="0" borderId="4" xfId="0" applyBorder="1"/>
    <xf numFmtId="1" fontId="5" fillId="0" borderId="4" xfId="0" applyNumberFormat="1" applyFont="1" applyBorder="1" applyAlignment="1">
      <alignment vertical="center"/>
    </xf>
    <xf numFmtId="4" fontId="4" fillId="6" borderId="4" xfId="0" applyNumberFormat="1" applyFont="1" applyFill="1" applyBorder="1" applyAlignment="1">
      <alignment vertical="center"/>
    </xf>
    <xf numFmtId="4" fontId="4" fillId="0" borderId="4" xfId="0" applyNumberFormat="1" applyFont="1" applyBorder="1" applyAlignment="1">
      <alignment vertical="center"/>
    </xf>
    <xf numFmtId="1" fontId="5" fillId="0" borderId="4" xfId="0" applyNumberFormat="1" applyFont="1" applyBorder="1"/>
    <xf numFmtId="4" fontId="4" fillId="0" borderId="4" xfId="0" applyNumberFormat="1" applyFont="1" applyBorder="1"/>
    <xf numFmtId="4" fontId="4" fillId="6" borderId="0" xfId="0" applyNumberFormat="1" applyFont="1" applyFill="1"/>
    <xf numFmtId="0" fontId="5" fillId="6" borderId="1" xfId="0" applyFont="1" applyFill="1" applyBorder="1" applyAlignment="1">
      <alignment horizontal="right" vertical="center"/>
    </xf>
    <xf numFmtId="0" fontId="5" fillId="9" borderId="1" xfId="0" applyFont="1" applyFill="1" applyBorder="1"/>
    <xf numFmtId="0" fontId="4" fillId="3" borderId="1" xfId="0" applyFont="1" applyFill="1" applyBorder="1" applyAlignment="1">
      <alignment vertical="top" wrapText="1"/>
    </xf>
    <xf numFmtId="0" fontId="4" fillId="3" borderId="1" xfId="0" applyFont="1" applyFill="1" applyBorder="1" applyAlignment="1">
      <alignment horizontal="left" vertical="top" wrapText="1"/>
    </xf>
    <xf numFmtId="0" fontId="4"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5" fillId="0" borderId="1" xfId="0" applyFont="1" applyBorder="1" applyAlignment="1">
      <alignment vertical="center" wrapText="1"/>
    </xf>
    <xf numFmtId="0" fontId="4" fillId="0" borderId="1" xfId="0" applyFont="1" applyBorder="1" applyAlignment="1">
      <alignment horizontal="left" vertical="top"/>
    </xf>
    <xf numFmtId="0" fontId="4" fillId="2" borderId="1" xfId="0" applyFont="1" applyFill="1" applyBorder="1" applyAlignment="1">
      <alignment horizontal="left" vertical="center" wrapText="1"/>
    </xf>
    <xf numFmtId="0" fontId="9" fillId="0" borderId="1" xfId="0" applyFont="1" applyBorder="1" applyAlignment="1">
      <alignment vertical="center" wrapText="1"/>
    </xf>
    <xf numFmtId="0" fontId="5" fillId="7" borderId="1" xfId="0" applyFont="1" applyFill="1" applyBorder="1" applyAlignment="1">
      <alignment horizontal="center"/>
    </xf>
    <xf numFmtId="0" fontId="15" fillId="7" borderId="1" xfId="0" applyFont="1" applyFill="1" applyBorder="1" applyAlignment="1">
      <alignment horizontal="center"/>
    </xf>
    <xf numFmtId="0" fontId="14" fillId="0" borderId="1" xfId="0" applyFont="1" applyBorder="1" applyAlignment="1">
      <alignment horizontal="center"/>
    </xf>
    <xf numFmtId="0" fontId="12" fillId="2" borderId="1" xfId="0" applyFont="1" applyFill="1" applyBorder="1" applyAlignment="1">
      <alignment horizontal="left" vertical="center" wrapText="1"/>
    </xf>
    <xf numFmtId="0" fontId="12" fillId="0" borderId="1" xfId="0" applyFont="1" applyBorder="1" applyAlignment="1">
      <alignment vertical="center"/>
    </xf>
    <xf numFmtId="0" fontId="4" fillId="6" borderId="1" xfId="460" applyFont="1" applyFill="1" applyBorder="1" applyAlignment="1">
      <alignment vertical="center" wrapText="1"/>
    </xf>
    <xf numFmtId="0" fontId="16" fillId="6" borderId="1" xfId="0" applyFont="1" applyFill="1" applyBorder="1" applyAlignment="1">
      <alignment wrapText="1"/>
    </xf>
    <xf numFmtId="0" fontId="4" fillId="6" borderId="1" xfId="0" applyFont="1" applyFill="1" applyBorder="1" applyAlignment="1">
      <alignment vertical="center" wrapText="1"/>
    </xf>
    <xf numFmtId="0" fontId="4" fillId="3" borderId="1" xfId="0" applyFont="1" applyFill="1" applyBorder="1" applyAlignment="1" applyProtection="1">
      <alignment vertical="top" wrapText="1"/>
      <protection locked="0"/>
    </xf>
    <xf numFmtId="0" fontId="5" fillId="6" borderId="1" xfId="0" applyFont="1" applyFill="1" applyBorder="1" applyAlignment="1">
      <alignment horizontal="left" vertical="center" wrapText="1"/>
    </xf>
    <xf numFmtId="0" fontId="4" fillId="7" borderId="1" xfId="0" applyFont="1" applyFill="1" applyBorder="1" applyAlignment="1">
      <alignment horizontal="left" vertical="center" wrapText="1"/>
    </xf>
    <xf numFmtId="0" fontId="0" fillId="7" borderId="1" xfId="0" applyFill="1" applyBorder="1" applyAlignment="1">
      <alignment vertical="center" wrapText="1"/>
    </xf>
    <xf numFmtId="0" fontId="5" fillId="2" borderId="1" xfId="0" applyFont="1" applyFill="1" applyBorder="1" applyAlignment="1">
      <alignment vertical="top" wrapText="1"/>
    </xf>
    <xf numFmtId="0" fontId="5" fillId="0" borderId="1" xfId="0" applyFont="1" applyBorder="1" applyAlignment="1">
      <alignment vertical="top" wrapText="1"/>
    </xf>
    <xf numFmtId="0" fontId="5" fillId="7" borderId="1" xfId="0" applyFont="1" applyFill="1" applyBorder="1" applyAlignment="1">
      <alignment vertical="center" wrapText="1"/>
    </xf>
    <xf numFmtId="0" fontId="4" fillId="2" borderId="1" xfId="0" applyFont="1" applyFill="1" applyBorder="1" applyAlignment="1">
      <alignment vertical="top" wrapText="1"/>
    </xf>
    <xf numFmtId="0" fontId="4" fillId="0" borderId="1" xfId="0" applyFont="1" applyBorder="1" applyAlignment="1">
      <alignment vertical="top" wrapText="1"/>
    </xf>
    <xf numFmtId="0" fontId="4" fillId="3" borderId="1" xfId="0" applyFont="1" applyFill="1" applyBorder="1" applyAlignment="1">
      <alignment horizontal="left" vertical="top"/>
    </xf>
    <xf numFmtId="0" fontId="14"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6" fillId="6" borderId="1" xfId="0" applyFont="1" applyFill="1" applyBorder="1" applyAlignment="1">
      <alignment horizontal="left" vertical="top" wrapText="1"/>
    </xf>
    <xf numFmtId="0" fontId="9" fillId="0" borderId="1" xfId="0" applyFont="1" applyBorder="1" applyAlignment="1">
      <alignment horizontal="left" vertical="top" wrapText="1"/>
    </xf>
    <xf numFmtId="0" fontId="12" fillId="3" borderId="1" xfId="0" applyFont="1" applyFill="1" applyBorder="1" applyAlignment="1">
      <alignment horizontal="left" vertical="top" wrapText="1"/>
    </xf>
    <xf numFmtId="0" fontId="10" fillId="3" borderId="1" xfId="0" applyFont="1" applyFill="1" applyBorder="1" applyAlignment="1">
      <alignment horizontal="left" vertical="top" wrapText="1"/>
    </xf>
    <xf numFmtId="0" fontId="4" fillId="3" borderId="1" xfId="0" applyFont="1" applyFill="1" applyBorder="1" applyAlignment="1">
      <alignment horizontal="left" vertical="center" wrapText="1"/>
    </xf>
    <xf numFmtId="0" fontId="12" fillId="3" borderId="1" xfId="0" applyFont="1" applyFill="1" applyBorder="1" applyAlignment="1">
      <alignment horizontal="center"/>
    </xf>
    <xf numFmtId="3" fontId="14" fillId="3" borderId="1" xfId="0" applyNumberFormat="1" applyFont="1" applyFill="1" applyBorder="1" applyAlignment="1">
      <alignment horizontal="center" vertical="center" wrapText="1"/>
    </xf>
    <xf numFmtId="0" fontId="4" fillId="3" borderId="1" xfId="0" applyFont="1" applyFill="1" applyBorder="1" applyAlignment="1">
      <alignment wrapText="1"/>
    </xf>
    <xf numFmtId="0" fontId="14" fillId="6" borderId="1" xfId="0" applyFont="1" applyFill="1" applyBorder="1" applyAlignment="1">
      <alignment vertical="center"/>
    </xf>
    <xf numFmtId="0" fontId="9" fillId="0" borderId="1" xfId="0" applyFont="1" applyBorder="1" applyAlignment="1">
      <alignment horizontal="left" vertical="center"/>
    </xf>
    <xf numFmtId="0" fontId="4" fillId="3" borderId="1" xfId="0" applyFont="1" applyFill="1" applyBorder="1" applyAlignment="1">
      <alignment horizontal="left" vertical="center"/>
    </xf>
    <xf numFmtId="0" fontId="4" fillId="0" borderId="1" xfId="0" applyFont="1" applyBorder="1" applyAlignment="1">
      <alignment vertical="top"/>
    </xf>
    <xf numFmtId="0" fontId="4" fillId="0" borderId="1" xfId="0" applyFont="1" applyBorder="1"/>
    <xf numFmtId="0" fontId="0" fillId="0" borderId="1" xfId="0" applyBorder="1" applyAlignment="1">
      <alignment horizontal="left" vertical="center" wrapText="1"/>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575"/>
  <sheetViews>
    <sheetView tabSelected="1" view="pageBreakPreview" zoomScale="85" zoomScaleNormal="85" zoomScaleSheetLayoutView="85" zoomScalePageLayoutView="85" workbookViewId="0">
      <selection activeCell="B2" sqref="B2:D2"/>
    </sheetView>
  </sheetViews>
  <sheetFormatPr defaultColWidth="8.75" defaultRowHeight="15.75" x14ac:dyDescent="0.25"/>
  <cols>
    <col min="1" max="1" width="5.75" style="94" customWidth="1"/>
    <col min="2" max="2" width="90.375" style="7" customWidth="1"/>
    <col min="3" max="3" width="41.25" style="13" customWidth="1"/>
    <col min="4" max="4" width="17.75" style="152" customWidth="1"/>
    <col min="5" max="5" width="17.75" style="74" customWidth="1"/>
    <col min="6" max="6" width="9.125" style="1" bestFit="1" customWidth="1"/>
    <col min="7" max="16384" width="8.75" style="1"/>
  </cols>
  <sheetData>
    <row r="1" spans="1:5" x14ac:dyDescent="0.25">
      <c r="A1" s="149"/>
      <c r="B1" s="210" t="s">
        <v>518</v>
      </c>
      <c r="C1" s="210"/>
      <c r="D1" s="211"/>
      <c r="E1" s="150"/>
    </row>
    <row r="2" spans="1:5" x14ac:dyDescent="0.25">
      <c r="B2" s="212" t="s">
        <v>517</v>
      </c>
      <c r="C2" s="212"/>
      <c r="D2" s="212"/>
    </row>
    <row r="3" spans="1:5" x14ac:dyDescent="0.25">
      <c r="B3" s="5" t="s">
        <v>254</v>
      </c>
      <c r="C3" s="6"/>
      <c r="D3" s="74"/>
    </row>
    <row r="4" spans="1:5" x14ac:dyDescent="0.25">
      <c r="C4" s="8" t="s">
        <v>101</v>
      </c>
      <c r="D4" s="75" t="s">
        <v>140</v>
      </c>
      <c r="E4" s="72"/>
    </row>
    <row r="5" spans="1:5" x14ac:dyDescent="0.25">
      <c r="B5" s="9" t="s">
        <v>85</v>
      </c>
      <c r="C5" s="10">
        <f>SUM(E38)</f>
        <v>1026000000</v>
      </c>
      <c r="D5" s="76">
        <f>+C5/C13</f>
        <v>0.83662492783498432</v>
      </c>
      <c r="E5" s="72"/>
    </row>
    <row r="6" spans="1:5" x14ac:dyDescent="0.25">
      <c r="B6" s="9" t="s">
        <v>90</v>
      </c>
      <c r="C6" s="10">
        <f>SUM(E217)</f>
        <v>72957400</v>
      </c>
      <c r="D6" s="76">
        <f>+C6/C13</f>
        <v>5.9491208099442576E-2</v>
      </c>
    </row>
    <row r="7" spans="1:5" x14ac:dyDescent="0.25">
      <c r="B7" s="9" t="s">
        <v>162</v>
      </c>
      <c r="C7" s="10">
        <f>E305</f>
        <v>34820000</v>
      </c>
      <c r="D7" s="76">
        <f>+C7/C13</f>
        <v>2.8393060416388064E-2</v>
      </c>
    </row>
    <row r="8" spans="1:5" x14ac:dyDescent="0.25">
      <c r="B8" s="9" t="s">
        <v>86</v>
      </c>
      <c r="C8" s="10">
        <f>SUM(E472)</f>
        <v>13866600</v>
      </c>
      <c r="D8" s="76">
        <f>+C8/C13</f>
        <v>1.130715713871013E-2</v>
      </c>
    </row>
    <row r="9" spans="1:5" x14ac:dyDescent="0.25">
      <c r="B9" s="9" t="s">
        <v>421</v>
      </c>
      <c r="C9" s="10">
        <f>+C536</f>
        <v>3582000</v>
      </c>
      <c r="D9" s="76">
        <f>+C9/C13</f>
        <v>2.9208484322659979E-3</v>
      </c>
    </row>
    <row r="10" spans="1:5" x14ac:dyDescent="0.25">
      <c r="B10" s="9" t="s">
        <v>87</v>
      </c>
      <c r="C10" s="10">
        <f>C529</f>
        <v>59330000</v>
      </c>
      <c r="D10" s="76">
        <f>+C10/C13</f>
        <v>4.8379100359112685E-2</v>
      </c>
    </row>
    <row r="11" spans="1:5" x14ac:dyDescent="0.25">
      <c r="B11" s="9" t="s">
        <v>88</v>
      </c>
      <c r="C11" s="10">
        <f>E529</f>
        <v>15800000</v>
      </c>
      <c r="D11" s="76">
        <f>+C11/C13</f>
        <v>1.2883697719096249E-2</v>
      </c>
    </row>
    <row r="12" spans="1:5" x14ac:dyDescent="0.25">
      <c r="A12" s="19"/>
      <c r="B12" s="11"/>
      <c r="C12" s="12"/>
      <c r="D12" s="77"/>
      <c r="E12" s="77"/>
    </row>
    <row r="13" spans="1:5" x14ac:dyDescent="0.25">
      <c r="B13" s="17" t="s">
        <v>100</v>
      </c>
      <c r="C13" s="10">
        <f>SUM(C5:C11)</f>
        <v>1226356000</v>
      </c>
      <c r="D13" s="78">
        <f>SUM(D5:D11)</f>
        <v>1</v>
      </c>
      <c r="E13" s="79"/>
    </row>
    <row r="14" spans="1:5" ht="19.149999999999999" customHeight="1" x14ac:dyDescent="0.25">
      <c r="A14" s="94">
        <v>1</v>
      </c>
      <c r="B14" s="5" t="s">
        <v>255</v>
      </c>
      <c r="C14" s="192"/>
      <c r="D14" s="74"/>
    </row>
    <row r="15" spans="1:5" s="58" customFormat="1" ht="79.900000000000006" customHeight="1" x14ac:dyDescent="0.25">
      <c r="A15" s="106"/>
      <c r="B15" s="213" t="s">
        <v>327</v>
      </c>
      <c r="C15" s="214"/>
      <c r="D15" s="214"/>
      <c r="E15" s="214"/>
    </row>
    <row r="16" spans="1:5" x14ac:dyDescent="0.25">
      <c r="A16" s="47"/>
      <c r="B16" s="47" t="s">
        <v>29</v>
      </c>
      <c r="C16" s="46"/>
      <c r="D16" s="48">
        <v>276286250</v>
      </c>
      <c r="E16" s="59"/>
    </row>
    <row r="17" spans="1:5" x14ac:dyDescent="0.25">
      <c r="A17" s="47"/>
      <c r="B17" s="47" t="s">
        <v>513</v>
      </c>
      <c r="C17" s="46"/>
      <c r="D17" s="48">
        <v>33713750</v>
      </c>
      <c r="E17" s="59"/>
    </row>
    <row r="18" spans="1:5" x14ac:dyDescent="0.25">
      <c r="A18" s="47"/>
      <c r="B18" s="47" t="s">
        <v>422</v>
      </c>
      <c r="C18" s="46"/>
      <c r="D18" s="44">
        <f>60000000+35000000+6000000+3000000</f>
        <v>104000000</v>
      </c>
      <c r="E18" s="59"/>
    </row>
    <row r="19" spans="1:5" s="185" customFormat="1" x14ac:dyDescent="0.25">
      <c r="A19" s="47"/>
      <c r="B19" s="47" t="s">
        <v>423</v>
      </c>
      <c r="C19" s="183"/>
      <c r="D19" s="44">
        <v>70000000</v>
      </c>
      <c r="E19" s="176"/>
    </row>
    <row r="20" spans="1:5" s="185" customFormat="1" x14ac:dyDescent="0.25">
      <c r="A20" s="47"/>
      <c r="B20" s="47" t="s">
        <v>341</v>
      </c>
      <c r="C20" s="183"/>
      <c r="D20" s="44">
        <v>60000000</v>
      </c>
      <c r="E20" s="176"/>
    </row>
    <row r="21" spans="1:5" x14ac:dyDescent="0.25">
      <c r="A21" s="47"/>
      <c r="B21" s="47" t="s">
        <v>30</v>
      </c>
      <c r="C21" s="46"/>
      <c r="D21" s="44">
        <v>60000000</v>
      </c>
      <c r="E21" s="59"/>
    </row>
    <row r="22" spans="1:5" x14ac:dyDescent="0.25">
      <c r="A22" s="47"/>
      <c r="B22" s="47" t="s">
        <v>31</v>
      </c>
      <c r="C22" s="46"/>
      <c r="D22" s="44">
        <v>60000000</v>
      </c>
      <c r="E22" s="59"/>
    </row>
    <row r="23" spans="1:5" x14ac:dyDescent="0.25">
      <c r="A23" s="47"/>
      <c r="B23" s="47" t="s">
        <v>96</v>
      </c>
      <c r="C23" s="43"/>
      <c r="D23" s="44">
        <v>60000000</v>
      </c>
      <c r="E23" s="59"/>
    </row>
    <row r="24" spans="1:5" x14ac:dyDescent="0.25">
      <c r="A24" s="47"/>
      <c r="B24" s="28" t="s">
        <v>32</v>
      </c>
      <c r="C24" s="43"/>
      <c r="D24" s="48">
        <v>10000000</v>
      </c>
      <c r="E24" s="59"/>
    </row>
    <row r="25" spans="1:5" x14ac:dyDescent="0.25">
      <c r="A25" s="47"/>
      <c r="B25" s="28" t="s">
        <v>484</v>
      </c>
      <c r="C25" s="43"/>
      <c r="D25" s="48">
        <f>60000000+6000000</f>
        <v>66000000</v>
      </c>
      <c r="E25" s="59"/>
    </row>
    <row r="26" spans="1:5" x14ac:dyDescent="0.25">
      <c r="A26" s="47"/>
      <c r="B26" s="47" t="s">
        <v>131</v>
      </c>
      <c r="C26" s="43"/>
      <c r="D26" s="44">
        <v>15000000</v>
      </c>
      <c r="E26" s="59"/>
    </row>
    <row r="27" spans="1:5" x14ac:dyDescent="0.25">
      <c r="A27" s="47"/>
      <c r="B27" s="47" t="s">
        <v>97</v>
      </c>
      <c r="C27" s="43"/>
      <c r="D27" s="44">
        <v>12000000</v>
      </c>
      <c r="E27" s="59"/>
    </row>
    <row r="28" spans="1:5" x14ac:dyDescent="0.25">
      <c r="A28" s="47"/>
      <c r="B28" s="47" t="s">
        <v>98</v>
      </c>
      <c r="C28" s="43"/>
      <c r="D28" s="44">
        <v>12000000</v>
      </c>
      <c r="E28" s="59"/>
    </row>
    <row r="29" spans="1:5" x14ac:dyDescent="0.25">
      <c r="A29" s="47"/>
      <c r="B29" s="47" t="s">
        <v>99</v>
      </c>
      <c r="C29" s="43"/>
      <c r="D29" s="44">
        <v>12000000</v>
      </c>
      <c r="E29" s="59"/>
    </row>
    <row r="30" spans="1:5" x14ac:dyDescent="0.25">
      <c r="A30" s="47"/>
      <c r="B30" s="47" t="s">
        <v>117</v>
      </c>
      <c r="C30" s="43"/>
      <c r="D30" s="48">
        <v>8000000</v>
      </c>
      <c r="E30" s="59"/>
    </row>
    <row r="31" spans="1:5" ht="21.75" customHeight="1" x14ac:dyDescent="0.25">
      <c r="A31" s="47"/>
      <c r="B31" s="217" t="s">
        <v>127</v>
      </c>
      <c r="C31" s="216"/>
      <c r="D31" s="44">
        <v>10000000</v>
      </c>
      <c r="E31" s="59"/>
    </row>
    <row r="32" spans="1:5" s="185" customFormat="1" x14ac:dyDescent="0.25">
      <c r="A32" s="47"/>
      <c r="B32" s="47" t="s">
        <v>33</v>
      </c>
      <c r="C32" s="186"/>
      <c r="D32" s="44">
        <v>40000000</v>
      </c>
      <c r="E32" s="179"/>
    </row>
    <row r="33" spans="1:5" x14ac:dyDescent="0.25">
      <c r="A33" s="47"/>
      <c r="B33" s="47" t="s">
        <v>388</v>
      </c>
      <c r="C33" s="43"/>
      <c r="D33" s="44">
        <v>80000000</v>
      </c>
      <c r="E33" s="59"/>
    </row>
    <row r="34" spans="1:5" x14ac:dyDescent="0.25">
      <c r="A34" s="47"/>
      <c r="B34" s="49" t="s">
        <v>94</v>
      </c>
      <c r="C34" s="43"/>
      <c r="D34" s="48">
        <v>8000000</v>
      </c>
      <c r="E34" s="59"/>
    </row>
    <row r="35" spans="1:5" ht="33.6" customHeight="1" x14ac:dyDescent="0.25">
      <c r="A35" s="47"/>
      <c r="B35" s="215" t="s">
        <v>93</v>
      </c>
      <c r="C35" s="216"/>
      <c r="D35" s="44">
        <v>18000000</v>
      </c>
      <c r="E35" s="59"/>
    </row>
    <row r="36" spans="1:5" ht="24.4" customHeight="1" x14ac:dyDescent="0.25">
      <c r="A36" s="47"/>
      <c r="B36" s="50" t="s">
        <v>249</v>
      </c>
      <c r="C36" s="43"/>
      <c r="D36" s="44">
        <v>11000000</v>
      </c>
      <c r="E36" s="59"/>
    </row>
    <row r="37" spans="1:5" x14ac:dyDescent="0.25">
      <c r="A37" s="19"/>
      <c r="B37" s="19"/>
      <c r="C37" s="20"/>
      <c r="D37" s="21"/>
      <c r="E37" s="22"/>
    </row>
    <row r="38" spans="1:5" x14ac:dyDescent="0.25">
      <c r="C38" s="23" t="s">
        <v>89</v>
      </c>
      <c r="D38" s="80"/>
      <c r="E38" s="81">
        <f>SUM(D16:D36)</f>
        <v>1026000000</v>
      </c>
    </row>
    <row r="39" spans="1:5" x14ac:dyDescent="0.25">
      <c r="A39" s="94">
        <v>2</v>
      </c>
      <c r="B39" s="24" t="s">
        <v>160</v>
      </c>
      <c r="D39" s="29"/>
      <c r="E39" s="29"/>
    </row>
    <row r="40" spans="1:5" x14ac:dyDescent="0.25">
      <c r="B40" s="24"/>
      <c r="D40" s="29"/>
      <c r="E40" s="29"/>
    </row>
    <row r="41" spans="1:5" x14ac:dyDescent="0.25">
      <c r="A41" s="94" t="s">
        <v>168</v>
      </c>
      <c r="B41" s="42" t="s">
        <v>1</v>
      </c>
      <c r="D41" s="29"/>
      <c r="E41" s="29"/>
    </row>
    <row r="42" spans="1:5" ht="33" customHeight="1" x14ac:dyDescent="0.25">
      <c r="A42" s="19"/>
      <c r="B42" s="218" t="s">
        <v>144</v>
      </c>
      <c r="C42" s="218"/>
      <c r="D42" s="218"/>
      <c r="E42" s="218"/>
    </row>
    <row r="43" spans="1:5" ht="19.149999999999999" customHeight="1" x14ac:dyDescent="0.25">
      <c r="A43" s="92"/>
      <c r="B43" s="28" t="s">
        <v>19</v>
      </c>
      <c r="C43" s="46"/>
      <c r="D43" s="44">
        <f>110000+12000</f>
        <v>122000</v>
      </c>
      <c r="E43" s="45"/>
    </row>
    <row r="44" spans="1:5" x14ac:dyDescent="0.25">
      <c r="B44" s="25" t="s">
        <v>0</v>
      </c>
      <c r="D44" s="29"/>
      <c r="E44" s="18">
        <f>SUM(D43)</f>
        <v>122000</v>
      </c>
    </row>
    <row r="45" spans="1:5" x14ac:dyDescent="0.25">
      <c r="A45" s="19"/>
      <c r="B45" s="19"/>
      <c r="C45" s="20"/>
      <c r="D45" s="26"/>
      <c r="E45" s="22"/>
    </row>
    <row r="46" spans="1:5" x14ac:dyDescent="0.25">
      <c r="A46" s="94" t="s">
        <v>169</v>
      </c>
      <c r="B46" s="206" t="s">
        <v>118</v>
      </c>
      <c r="C46" s="206"/>
      <c r="D46" s="29"/>
      <c r="E46" s="29"/>
    </row>
    <row r="47" spans="1:5" ht="250.9" customHeight="1" x14ac:dyDescent="0.25">
      <c r="A47" s="19"/>
      <c r="B47" s="202" t="s">
        <v>147</v>
      </c>
      <c r="C47" s="202"/>
      <c r="D47" s="202"/>
      <c r="E47" s="202"/>
    </row>
    <row r="48" spans="1:5" s="3" customFormat="1" x14ac:dyDescent="0.25">
      <c r="A48" s="47"/>
      <c r="B48" s="28" t="s">
        <v>14</v>
      </c>
      <c r="C48" s="46"/>
      <c r="D48" s="44">
        <f>5000000+181400+450000+50000+60000+30000+210000</f>
        <v>5981400</v>
      </c>
      <c r="E48" s="56"/>
    </row>
    <row r="49" spans="1:5" s="3" customFormat="1" x14ac:dyDescent="0.25">
      <c r="A49" s="47"/>
      <c r="B49" s="28" t="s">
        <v>16</v>
      </c>
      <c r="C49" s="46"/>
      <c r="D49" s="44">
        <f>3222000+500000+106000+64000-79200+156800-368000-2000</f>
        <v>3599600</v>
      </c>
      <c r="E49" s="56"/>
    </row>
    <row r="50" spans="1:5" s="3" customFormat="1" x14ac:dyDescent="0.25">
      <c r="A50" s="47"/>
      <c r="B50" s="28" t="s">
        <v>15</v>
      </c>
      <c r="C50" s="46"/>
      <c r="D50" s="44">
        <f>500000+9400-60000</f>
        <v>449400</v>
      </c>
      <c r="E50" s="45"/>
    </row>
    <row r="51" spans="1:5" s="3" customFormat="1" x14ac:dyDescent="0.25">
      <c r="A51" s="47"/>
      <c r="B51" s="28" t="s">
        <v>112</v>
      </c>
      <c r="C51" s="46"/>
      <c r="D51" s="44">
        <f>5000000+175000-720000-360000+5000000-1310000-1000000-600000-360000+1000000+1000000+920000</f>
        <v>8745000</v>
      </c>
      <c r="E51" s="45"/>
    </row>
    <row r="52" spans="1:5" s="3" customFormat="1" x14ac:dyDescent="0.25">
      <c r="A52" s="47"/>
      <c r="B52" s="28" t="s">
        <v>20</v>
      </c>
      <c r="C52" s="43"/>
      <c r="D52" s="44">
        <v>200000</v>
      </c>
      <c r="E52" s="45"/>
    </row>
    <row r="53" spans="1:5" s="3" customFormat="1" x14ac:dyDescent="0.25">
      <c r="A53" s="47"/>
      <c r="B53" s="28" t="s">
        <v>17</v>
      </c>
      <c r="C53" s="28"/>
      <c r="D53" s="44">
        <f>400000+12000+14400+61000</f>
        <v>487400</v>
      </c>
      <c r="E53" s="56"/>
    </row>
    <row r="54" spans="1:5" s="3" customFormat="1" x14ac:dyDescent="0.25">
      <c r="A54" s="47"/>
      <c r="B54" s="28" t="s">
        <v>63</v>
      </c>
      <c r="C54" s="46"/>
      <c r="D54" s="59">
        <f>6400*10*8+310000</f>
        <v>822000</v>
      </c>
      <c r="E54" s="56"/>
    </row>
    <row r="55" spans="1:5" s="3" customFormat="1" x14ac:dyDescent="0.25">
      <c r="A55" s="47"/>
      <c r="B55" s="28" t="s">
        <v>111</v>
      </c>
      <c r="C55" s="28"/>
      <c r="D55" s="44">
        <v>12000</v>
      </c>
      <c r="E55" s="56"/>
    </row>
    <row r="56" spans="1:5" s="3" customFormat="1" x14ac:dyDescent="0.25">
      <c r="A56" s="47"/>
      <c r="B56" s="28" t="s">
        <v>70</v>
      </c>
      <c r="C56" s="28"/>
      <c r="D56" s="44">
        <v>108000</v>
      </c>
      <c r="E56" s="56"/>
    </row>
    <row r="57" spans="1:5" s="3" customFormat="1" x14ac:dyDescent="0.25">
      <c r="A57" s="47"/>
      <c r="B57" s="28" t="s">
        <v>467</v>
      </c>
      <c r="C57" s="46"/>
      <c r="D57" s="59">
        <f>950000+909000+120000</f>
        <v>1979000</v>
      </c>
      <c r="E57" s="56"/>
    </row>
    <row r="58" spans="1:5" s="3" customFormat="1" x14ac:dyDescent="0.25">
      <c r="A58" s="47"/>
      <c r="B58" s="85" t="s">
        <v>250</v>
      </c>
      <c r="C58" s="46"/>
      <c r="D58" s="59">
        <v>252000</v>
      </c>
      <c r="E58" s="56"/>
    </row>
    <row r="59" spans="1:5" s="3" customFormat="1" x14ac:dyDescent="0.25">
      <c r="A59" s="47"/>
      <c r="B59" s="28" t="s">
        <v>468</v>
      </c>
      <c r="C59" s="28"/>
      <c r="D59" s="44">
        <v>1000000</v>
      </c>
      <c r="E59" s="56"/>
    </row>
    <row r="60" spans="1:5" x14ac:dyDescent="0.25">
      <c r="A60" s="92"/>
      <c r="B60" s="51" t="s">
        <v>0</v>
      </c>
      <c r="C60" s="46"/>
      <c r="D60" s="45"/>
      <c r="E60" s="54">
        <f>SUM(D48:D59)</f>
        <v>23635800</v>
      </c>
    </row>
    <row r="61" spans="1:5" x14ac:dyDescent="0.25">
      <c r="A61" s="19"/>
      <c r="B61" s="19"/>
      <c r="C61" s="20"/>
      <c r="D61" s="26"/>
      <c r="E61" s="22"/>
    </row>
    <row r="62" spans="1:5" x14ac:dyDescent="0.25">
      <c r="A62" s="94" t="s">
        <v>170</v>
      </c>
      <c r="B62" s="42" t="s">
        <v>126</v>
      </c>
      <c r="D62" s="29"/>
      <c r="E62" s="29"/>
    </row>
    <row r="63" spans="1:5" ht="22.15" customHeight="1" x14ac:dyDescent="0.25">
      <c r="A63" s="19"/>
      <c r="B63" s="222" t="s">
        <v>356</v>
      </c>
      <c r="C63" s="222"/>
      <c r="D63" s="222"/>
      <c r="E63" s="223"/>
    </row>
    <row r="64" spans="1:5" s="3" customFormat="1" x14ac:dyDescent="0.25">
      <c r="A64" s="92"/>
      <c r="B64" s="98" t="s">
        <v>424</v>
      </c>
      <c r="C64" s="100"/>
      <c r="D64" s="102"/>
      <c r="E64" s="87"/>
    </row>
    <row r="65" spans="1:5" ht="49.9" customHeight="1" x14ac:dyDescent="0.25">
      <c r="A65" s="28"/>
      <c r="B65" s="220" t="s">
        <v>354</v>
      </c>
      <c r="C65" s="221"/>
      <c r="D65" s="221"/>
      <c r="E65" s="153"/>
    </row>
    <row r="66" spans="1:5" ht="17.649999999999999" customHeight="1" x14ac:dyDescent="0.25">
      <c r="A66" s="28"/>
      <c r="B66" s="67"/>
      <c r="C66" s="154"/>
      <c r="D66" s="52">
        <f>SUM(D67:D71)</f>
        <v>3986000</v>
      </c>
      <c r="E66" s="153"/>
    </row>
    <row r="67" spans="1:5" s="3" customFormat="1" ht="18" customHeight="1" x14ac:dyDescent="0.25">
      <c r="A67" s="47"/>
      <c r="B67" s="28" t="s">
        <v>469</v>
      </c>
      <c r="C67" s="28" t="s">
        <v>470</v>
      </c>
      <c r="D67" s="44">
        <f>25000*2*2</f>
        <v>100000</v>
      </c>
      <c r="E67" s="45"/>
    </row>
    <row r="68" spans="1:5" s="3" customFormat="1" ht="21.6" customHeight="1" x14ac:dyDescent="0.25">
      <c r="A68" s="47"/>
      <c r="B68" s="28" t="s">
        <v>355</v>
      </c>
      <c r="C68" s="28" t="s">
        <v>349</v>
      </c>
      <c r="D68" s="44">
        <f>100*2*3*120*2</f>
        <v>144000</v>
      </c>
      <c r="E68" s="45"/>
    </row>
    <row r="69" spans="1:5" s="3" customFormat="1" x14ac:dyDescent="0.25">
      <c r="A69" s="47"/>
      <c r="B69" s="28" t="s">
        <v>8</v>
      </c>
      <c r="C69" s="28" t="s">
        <v>348</v>
      </c>
      <c r="D69" s="44">
        <v>22000</v>
      </c>
      <c r="E69" s="45"/>
    </row>
    <row r="70" spans="1:5" s="3" customFormat="1" x14ac:dyDescent="0.25">
      <c r="A70" s="47"/>
      <c r="B70" s="28" t="s">
        <v>70</v>
      </c>
      <c r="C70" s="28" t="s">
        <v>213</v>
      </c>
      <c r="D70" s="44">
        <f>1000*120</f>
        <v>120000</v>
      </c>
      <c r="E70" s="45"/>
    </row>
    <row r="71" spans="1:5" s="3" customFormat="1" x14ac:dyDescent="0.25">
      <c r="A71" s="47"/>
      <c r="B71" s="69" t="s">
        <v>347</v>
      </c>
      <c r="C71" s="68" t="s">
        <v>506</v>
      </c>
      <c r="D71" s="45">
        <f>3*10000*120</f>
        <v>3600000</v>
      </c>
      <c r="E71" s="45"/>
    </row>
    <row r="72" spans="1:5" s="3" customFormat="1" x14ac:dyDescent="0.25">
      <c r="A72" s="47"/>
      <c r="B72" s="69"/>
      <c r="C72" s="68"/>
      <c r="D72" s="45"/>
      <c r="E72" s="45"/>
    </row>
    <row r="73" spans="1:5" s="3" customFormat="1" ht="15" customHeight="1" x14ac:dyDescent="0.25">
      <c r="A73" s="92"/>
      <c r="B73" s="98" t="s">
        <v>455</v>
      </c>
      <c r="C73" s="99"/>
      <c r="D73" s="101"/>
      <c r="E73" s="45"/>
    </row>
    <row r="74" spans="1:5" ht="81.599999999999994" customHeight="1" x14ac:dyDescent="0.25">
      <c r="A74" s="28"/>
      <c r="B74" s="220" t="s">
        <v>441</v>
      </c>
      <c r="C74" s="221"/>
      <c r="D74" s="221"/>
      <c r="E74" s="97"/>
    </row>
    <row r="75" spans="1:5" s="3" customFormat="1" x14ac:dyDescent="0.25">
      <c r="A75" s="47"/>
      <c r="B75" s="69" t="s">
        <v>257</v>
      </c>
      <c r="C75" s="68" t="s">
        <v>477</v>
      </c>
      <c r="D75" s="45">
        <f>5000*120</f>
        <v>600000</v>
      </c>
      <c r="E75" s="45"/>
    </row>
    <row r="76" spans="1:5" x14ac:dyDescent="0.25">
      <c r="A76" s="92"/>
      <c r="B76" s="224" t="s">
        <v>439</v>
      </c>
      <c r="C76" s="224"/>
      <c r="D76" s="101"/>
      <c r="E76" s="45"/>
    </row>
    <row r="77" spans="1:5" s="3" customFormat="1" x14ac:dyDescent="0.25">
      <c r="A77" s="47"/>
      <c r="B77" s="28" t="s">
        <v>2</v>
      </c>
      <c r="C77" s="89"/>
      <c r="D77" s="44">
        <v>300000</v>
      </c>
      <c r="E77" s="56"/>
    </row>
    <row r="78" spans="1:5" s="3" customFormat="1" x14ac:dyDescent="0.25">
      <c r="A78" s="92"/>
      <c r="B78" s="28" t="s">
        <v>443</v>
      </c>
      <c r="C78" s="28" t="s">
        <v>507</v>
      </c>
      <c r="D78" s="44">
        <v>1000000</v>
      </c>
      <c r="E78" s="56"/>
    </row>
    <row r="79" spans="1:5" s="3" customFormat="1" x14ac:dyDescent="0.25">
      <c r="A79" s="92"/>
      <c r="B79" s="224" t="s">
        <v>440</v>
      </c>
      <c r="C79" s="224"/>
      <c r="D79" s="103"/>
      <c r="E79" s="45"/>
    </row>
    <row r="80" spans="1:5" s="3" customFormat="1" x14ac:dyDescent="0.25">
      <c r="A80" s="47"/>
      <c r="B80" s="28" t="s">
        <v>333</v>
      </c>
      <c r="C80" s="28" t="s">
        <v>336</v>
      </c>
      <c r="D80" s="45">
        <f>40000*3</f>
        <v>120000</v>
      </c>
      <c r="E80" s="56"/>
    </row>
    <row r="81" spans="1:5" s="3" customFormat="1" x14ac:dyDescent="0.25">
      <c r="A81" s="47"/>
      <c r="B81" s="28" t="s">
        <v>17</v>
      </c>
      <c r="C81" s="28" t="s">
        <v>227</v>
      </c>
      <c r="D81" s="45">
        <f>7000*3</f>
        <v>21000</v>
      </c>
      <c r="E81" s="56"/>
    </row>
    <row r="82" spans="1:5" ht="16.899999999999999" customHeight="1" x14ac:dyDescent="0.25">
      <c r="B82" s="25" t="s">
        <v>0</v>
      </c>
      <c r="D82" s="29"/>
      <c r="E82" s="18">
        <f>D66+D75+D77+D80+D81+D78</f>
        <v>6027000</v>
      </c>
    </row>
    <row r="83" spans="1:5" x14ac:dyDescent="0.25">
      <c r="A83" s="95"/>
      <c r="B83" s="19"/>
      <c r="C83" s="20"/>
      <c r="D83" s="26"/>
      <c r="E83" s="22"/>
    </row>
    <row r="84" spans="1:5" ht="16.899999999999999" customHeight="1" x14ac:dyDescent="0.25">
      <c r="A84" s="94" t="s">
        <v>171</v>
      </c>
      <c r="B84" s="42" t="s">
        <v>150</v>
      </c>
      <c r="D84" s="29"/>
      <c r="E84" s="29"/>
    </row>
    <row r="85" spans="1:5" ht="48" customHeight="1" x14ac:dyDescent="0.25">
      <c r="A85" s="57"/>
      <c r="B85" s="203" t="s">
        <v>154</v>
      </c>
      <c r="C85" s="203"/>
      <c r="D85" s="203"/>
      <c r="E85" s="203"/>
    </row>
    <row r="86" spans="1:5" s="3" customFormat="1" ht="16.899999999999999" customHeight="1" x14ac:dyDescent="0.25">
      <c r="A86" s="92"/>
      <c r="B86" s="62" t="s">
        <v>229</v>
      </c>
      <c r="C86" s="28"/>
      <c r="D86" s="54">
        <f>D87+D88</f>
        <v>342000</v>
      </c>
      <c r="E86" s="45"/>
    </row>
    <row r="87" spans="1:5" s="3" customFormat="1" ht="16.899999999999999" customHeight="1" x14ac:dyDescent="0.25">
      <c r="A87" s="47"/>
      <c r="B87" s="28" t="s">
        <v>332</v>
      </c>
      <c r="C87" s="28" t="s">
        <v>334</v>
      </c>
      <c r="D87" s="44">
        <f>60000*3</f>
        <v>180000</v>
      </c>
      <c r="E87" s="56"/>
    </row>
    <row r="88" spans="1:5" s="3" customFormat="1" ht="16.899999999999999" customHeight="1" x14ac:dyDescent="0.25">
      <c r="A88" s="47"/>
      <c r="B88" s="28" t="s">
        <v>153</v>
      </c>
      <c r="C88" s="28" t="s">
        <v>337</v>
      </c>
      <c r="D88" s="44">
        <f>150*3*3*120</f>
        <v>162000</v>
      </c>
      <c r="E88" s="56"/>
    </row>
    <row r="89" spans="1:5" s="3" customFormat="1" ht="16.899999999999999" customHeight="1" x14ac:dyDescent="0.25">
      <c r="A89" s="92"/>
      <c r="B89" s="62" t="s">
        <v>328</v>
      </c>
      <c r="C89" s="28"/>
      <c r="D89" s="54">
        <f>D90+D91</f>
        <v>1200000</v>
      </c>
      <c r="E89" s="56"/>
    </row>
    <row r="90" spans="1:5" s="3" customFormat="1" ht="16.899999999999999" customHeight="1" x14ac:dyDescent="0.25">
      <c r="A90" s="47"/>
      <c r="B90" s="28" t="s">
        <v>245</v>
      </c>
      <c r="C90" s="28" t="s">
        <v>335</v>
      </c>
      <c r="D90" s="44">
        <v>800000</v>
      </c>
      <c r="E90" s="45"/>
    </row>
    <row r="91" spans="1:5" s="3" customFormat="1" ht="16.899999999999999" customHeight="1" x14ac:dyDescent="0.25">
      <c r="A91" s="47"/>
      <c r="B91" s="28" t="s">
        <v>246</v>
      </c>
      <c r="C91" s="28" t="s">
        <v>339</v>
      </c>
      <c r="D91" s="44">
        <v>400000</v>
      </c>
      <c r="E91" s="45"/>
    </row>
    <row r="92" spans="1:5" ht="16.899999999999999" customHeight="1" x14ac:dyDescent="0.25">
      <c r="A92" s="105"/>
      <c r="B92" s="62" t="s">
        <v>425</v>
      </c>
      <c r="C92" s="46"/>
      <c r="D92" s="139">
        <f>SUM(D93:D96)</f>
        <v>1683000</v>
      </c>
      <c r="E92" s="45"/>
    </row>
    <row r="93" spans="1:5" s="3" customFormat="1" ht="16.899999999999999" customHeight="1" x14ac:dyDescent="0.25">
      <c r="A93" s="37"/>
      <c r="B93" s="28" t="s">
        <v>426</v>
      </c>
      <c r="C93" s="28" t="s">
        <v>431</v>
      </c>
      <c r="D93" s="44">
        <f>SUM(14*70000)</f>
        <v>980000</v>
      </c>
      <c r="E93" s="45"/>
    </row>
    <row r="94" spans="1:5" s="3" customFormat="1" ht="16.899999999999999" customHeight="1" x14ac:dyDescent="0.25">
      <c r="A94" s="37"/>
      <c r="B94" s="28" t="s">
        <v>427</v>
      </c>
      <c r="C94" s="28" t="s">
        <v>428</v>
      </c>
      <c r="D94" s="44">
        <v>571000</v>
      </c>
      <c r="E94" s="45"/>
    </row>
    <row r="95" spans="1:5" s="3" customFormat="1" ht="16.899999999999999" customHeight="1" x14ac:dyDescent="0.25">
      <c r="A95" s="37"/>
      <c r="B95" s="28" t="s">
        <v>3</v>
      </c>
      <c r="C95" s="28" t="s">
        <v>429</v>
      </c>
      <c r="D95" s="44">
        <f>12*50*1*120</f>
        <v>72000</v>
      </c>
      <c r="E95" s="45"/>
    </row>
    <row r="96" spans="1:5" s="3" customFormat="1" ht="16.899999999999999" customHeight="1" x14ac:dyDescent="0.25">
      <c r="A96" s="37"/>
      <c r="B96" s="28" t="s">
        <v>430</v>
      </c>
      <c r="C96" s="28" t="s">
        <v>194</v>
      </c>
      <c r="D96" s="44">
        <f>SUM(500*120)</f>
        <v>60000</v>
      </c>
      <c r="E96" s="45"/>
    </row>
    <row r="97" spans="1:5" s="3" customFormat="1" ht="16.899999999999999" customHeight="1" x14ac:dyDescent="0.25">
      <c r="A97" s="92"/>
      <c r="B97" s="62" t="s">
        <v>247</v>
      </c>
      <c r="C97" s="62" t="s">
        <v>340</v>
      </c>
      <c r="D97" s="54">
        <v>3000000</v>
      </c>
      <c r="E97" s="52"/>
    </row>
    <row r="98" spans="1:5" ht="16.899999999999999" customHeight="1" x14ac:dyDescent="0.25">
      <c r="A98" s="92"/>
      <c r="B98" s="51" t="s">
        <v>0</v>
      </c>
      <c r="C98" s="46"/>
      <c r="D98" s="45"/>
      <c r="E98" s="54">
        <f>D86+D89+D92+D97</f>
        <v>6225000</v>
      </c>
    </row>
    <row r="99" spans="1:5" x14ac:dyDescent="0.25">
      <c r="A99" s="95"/>
      <c r="B99" s="19"/>
      <c r="C99" s="20"/>
      <c r="D99" s="26"/>
      <c r="E99" s="22"/>
    </row>
    <row r="100" spans="1:5" x14ac:dyDescent="0.25">
      <c r="A100" s="94" t="s">
        <v>175</v>
      </c>
      <c r="B100" s="42" t="s">
        <v>26</v>
      </c>
      <c r="D100" s="29"/>
      <c r="E100" s="29"/>
    </row>
    <row r="101" spans="1:5" ht="49.15" customHeight="1" x14ac:dyDescent="0.25">
      <c r="A101" s="95"/>
      <c r="B101" s="225" t="s">
        <v>357</v>
      </c>
      <c r="C101" s="225"/>
      <c r="D101" s="225"/>
      <c r="E101" s="226"/>
    </row>
    <row r="102" spans="1:5" s="3" customFormat="1" ht="21" customHeight="1" x14ac:dyDescent="0.25">
      <c r="A102" s="92"/>
      <c r="B102" s="28" t="s">
        <v>137</v>
      </c>
      <c r="C102" s="28" t="s">
        <v>329</v>
      </c>
      <c r="D102" s="44">
        <f>15000*120</f>
        <v>1800000</v>
      </c>
      <c r="E102" s="45"/>
    </row>
    <row r="103" spans="1:5" s="3" customFormat="1" x14ac:dyDescent="0.25">
      <c r="A103" s="47"/>
      <c r="B103" s="28" t="s">
        <v>4</v>
      </c>
      <c r="C103" s="28" t="s">
        <v>194</v>
      </c>
      <c r="D103" s="44">
        <f>500*120</f>
        <v>60000</v>
      </c>
      <c r="E103" s="45"/>
    </row>
    <row r="104" spans="1:5" s="3" customFormat="1" x14ac:dyDescent="0.25">
      <c r="A104" s="47"/>
      <c r="B104" s="46" t="s">
        <v>22</v>
      </c>
      <c r="C104" s="144" t="s">
        <v>501</v>
      </c>
      <c r="D104" s="45">
        <v>60000</v>
      </c>
      <c r="E104" s="45"/>
    </row>
    <row r="105" spans="1:5" s="3" customFormat="1" x14ac:dyDescent="0.25">
      <c r="A105" s="47"/>
      <c r="B105" s="85" t="s">
        <v>250</v>
      </c>
      <c r="C105" s="64" t="s">
        <v>302</v>
      </c>
      <c r="D105" s="44">
        <v>300000</v>
      </c>
      <c r="E105" s="45"/>
    </row>
    <row r="106" spans="1:5" s="3" customFormat="1" x14ac:dyDescent="0.25">
      <c r="A106" s="47"/>
      <c r="B106" s="28" t="s">
        <v>5</v>
      </c>
      <c r="C106" s="28" t="s">
        <v>303</v>
      </c>
      <c r="D106" s="44">
        <f>SUM(15*10*5*120)</f>
        <v>90000</v>
      </c>
      <c r="E106" s="56"/>
    </row>
    <row r="107" spans="1:5" s="3" customFormat="1" x14ac:dyDescent="0.25">
      <c r="A107" s="47"/>
      <c r="B107" s="28" t="s">
        <v>6</v>
      </c>
      <c r="C107" s="28" t="s">
        <v>196</v>
      </c>
      <c r="D107" s="44">
        <f>SUM(10000*120)</f>
        <v>1200000</v>
      </c>
      <c r="E107" s="56"/>
    </row>
    <row r="108" spans="1:5" s="3" customFormat="1" x14ac:dyDescent="0.25">
      <c r="A108" s="47"/>
      <c r="B108" s="28" t="s">
        <v>148</v>
      </c>
      <c r="C108" s="28" t="s">
        <v>304</v>
      </c>
      <c r="D108" s="44">
        <f>80000*5</f>
        <v>400000</v>
      </c>
      <c r="E108" s="56"/>
    </row>
    <row r="109" spans="1:5" s="3" customFormat="1" x14ac:dyDescent="0.25">
      <c r="A109" s="47"/>
      <c r="B109" s="28" t="s">
        <v>7</v>
      </c>
      <c r="C109" s="28" t="s">
        <v>305</v>
      </c>
      <c r="D109" s="44">
        <f>15000*5</f>
        <v>75000</v>
      </c>
      <c r="E109" s="45"/>
    </row>
    <row r="110" spans="1:5" s="3" customFormat="1" x14ac:dyDescent="0.25">
      <c r="A110" s="47"/>
      <c r="B110" s="28" t="s">
        <v>21</v>
      </c>
      <c r="C110" s="28" t="s">
        <v>202</v>
      </c>
      <c r="D110" s="44">
        <f>120000+240000</f>
        <v>360000</v>
      </c>
      <c r="E110" s="45"/>
    </row>
    <row r="111" spans="1:5" s="3" customFormat="1" x14ac:dyDescent="0.25">
      <c r="A111" s="47"/>
      <c r="B111" s="28" t="s">
        <v>18</v>
      </c>
      <c r="C111" s="28" t="s">
        <v>306</v>
      </c>
      <c r="D111" s="44">
        <v>250000</v>
      </c>
      <c r="E111" s="45"/>
    </row>
    <row r="112" spans="1:5" s="3" customFormat="1" x14ac:dyDescent="0.25">
      <c r="A112" s="47"/>
      <c r="B112" s="28" t="s">
        <v>138</v>
      </c>
      <c r="C112" s="28" t="s">
        <v>207</v>
      </c>
      <c r="D112" s="44">
        <v>240000</v>
      </c>
      <c r="E112" s="45"/>
    </row>
    <row r="113" spans="1:5" x14ac:dyDescent="0.25">
      <c r="B113" s="25" t="s">
        <v>0</v>
      </c>
      <c r="D113" s="29"/>
      <c r="E113" s="18">
        <f>SUM(D102:D112)</f>
        <v>4835000</v>
      </c>
    </row>
    <row r="114" spans="1:5" x14ac:dyDescent="0.25">
      <c r="A114" s="95"/>
      <c r="B114" s="19"/>
      <c r="C114" s="20"/>
      <c r="D114" s="26"/>
      <c r="E114" s="22"/>
    </row>
    <row r="115" spans="1:5" x14ac:dyDescent="0.25">
      <c r="A115" s="94" t="s">
        <v>172</v>
      </c>
      <c r="B115" s="42" t="s">
        <v>27</v>
      </c>
      <c r="D115" s="29"/>
      <c r="E115" s="29"/>
    </row>
    <row r="116" spans="1:5" ht="51" customHeight="1" x14ac:dyDescent="0.25">
      <c r="A116" s="95"/>
      <c r="B116" s="204" t="s">
        <v>208</v>
      </c>
      <c r="C116" s="204"/>
      <c r="D116" s="204"/>
      <c r="E116" s="204"/>
    </row>
    <row r="117" spans="1:5" ht="19.899999999999999" customHeight="1" x14ac:dyDescent="0.25">
      <c r="A117" s="28"/>
      <c r="B117" s="35" t="s">
        <v>509</v>
      </c>
      <c r="C117" s="54">
        <f>SUM(D118:D121)</f>
        <v>670000</v>
      </c>
      <c r="D117" s="67"/>
      <c r="E117" s="67"/>
    </row>
    <row r="118" spans="1:5" s="178" customFormat="1" ht="19.899999999999999" customHeight="1" x14ac:dyDescent="0.25">
      <c r="A118" s="47"/>
      <c r="B118" s="28" t="s">
        <v>309</v>
      </c>
      <c r="C118" s="28" t="s">
        <v>202</v>
      </c>
      <c r="D118" s="44">
        <f>3000*120</f>
        <v>360000</v>
      </c>
      <c r="E118" s="177"/>
    </row>
    <row r="119" spans="1:5" s="3" customFormat="1" x14ac:dyDescent="0.25">
      <c r="A119" s="47"/>
      <c r="B119" s="28" t="s">
        <v>496</v>
      </c>
      <c r="C119" s="64" t="s">
        <v>497</v>
      </c>
      <c r="D119" s="44">
        <v>150000</v>
      </c>
      <c r="E119" s="56"/>
    </row>
    <row r="120" spans="1:5" s="178" customFormat="1" ht="19.899999999999999" customHeight="1" x14ac:dyDescent="0.25">
      <c r="A120" s="28"/>
      <c r="B120" s="85" t="s">
        <v>8</v>
      </c>
      <c r="C120" s="85" t="s">
        <v>511</v>
      </c>
      <c r="D120" s="59">
        <v>40000</v>
      </c>
      <c r="E120" s="177"/>
    </row>
    <row r="121" spans="1:5" s="181" customFormat="1" ht="19.899999999999999" customHeight="1" x14ac:dyDescent="0.25">
      <c r="A121" s="28"/>
      <c r="B121" s="85" t="s">
        <v>209</v>
      </c>
      <c r="C121" s="85" t="s">
        <v>252</v>
      </c>
      <c r="D121" s="59">
        <f>1000*120</f>
        <v>120000</v>
      </c>
      <c r="E121" s="180"/>
    </row>
    <row r="122" spans="1:5" s="3" customFormat="1" ht="19.899999999999999" customHeight="1" x14ac:dyDescent="0.25">
      <c r="A122" s="92"/>
      <c r="B122" s="62" t="s">
        <v>307</v>
      </c>
      <c r="C122" s="65">
        <f>SUM(D123:D127)</f>
        <v>2496000</v>
      </c>
      <c r="D122" s="59"/>
      <c r="E122" s="67"/>
    </row>
    <row r="123" spans="1:5" s="3" customFormat="1" ht="19.899999999999999" customHeight="1" x14ac:dyDescent="0.25">
      <c r="A123" s="28"/>
      <c r="B123" s="85" t="s">
        <v>210</v>
      </c>
      <c r="C123" s="85" t="s">
        <v>330</v>
      </c>
      <c r="D123" s="59">
        <f>10000*120</f>
        <v>1200000</v>
      </c>
      <c r="E123" s="67"/>
    </row>
    <row r="124" spans="1:5" s="3" customFormat="1" x14ac:dyDescent="0.25">
      <c r="A124" s="47"/>
      <c r="B124" s="28" t="s">
        <v>149</v>
      </c>
      <c r="C124" s="64" t="s">
        <v>308</v>
      </c>
      <c r="D124" s="44">
        <f>SUM(60000*6)</f>
        <v>360000</v>
      </c>
      <c r="E124" s="56"/>
    </row>
    <row r="125" spans="1:5" s="3" customFormat="1" ht="18" customHeight="1" x14ac:dyDescent="0.25">
      <c r="A125" s="47"/>
      <c r="B125" s="28" t="s">
        <v>309</v>
      </c>
      <c r="C125" s="28" t="s">
        <v>411</v>
      </c>
      <c r="D125" s="44">
        <f>6700*120</f>
        <v>804000</v>
      </c>
      <c r="E125" s="56"/>
    </row>
    <row r="126" spans="1:5" s="3" customFormat="1" ht="18" customHeight="1" x14ac:dyDescent="0.25">
      <c r="A126" s="47"/>
      <c r="B126" s="37" t="s">
        <v>211</v>
      </c>
      <c r="C126" s="37" t="s">
        <v>310</v>
      </c>
      <c r="D126" s="59">
        <f>700*120</f>
        <v>84000</v>
      </c>
      <c r="E126" s="45"/>
    </row>
    <row r="127" spans="1:5" s="3" customFormat="1" ht="18" customHeight="1" x14ac:dyDescent="0.25">
      <c r="A127" s="47"/>
      <c r="B127" s="37" t="s">
        <v>212</v>
      </c>
      <c r="C127" s="37" t="s">
        <v>311</v>
      </c>
      <c r="D127" s="59">
        <f>400*120</f>
        <v>48000</v>
      </c>
      <c r="E127" s="45"/>
    </row>
    <row r="128" spans="1:5" x14ac:dyDescent="0.25">
      <c r="B128" s="25" t="s">
        <v>0</v>
      </c>
      <c r="C128" s="15"/>
      <c r="D128" s="29"/>
      <c r="E128" s="18">
        <f>C117+C122</f>
        <v>3166000</v>
      </c>
    </row>
    <row r="129" spans="1:5" x14ac:dyDescent="0.25">
      <c r="A129" s="95"/>
      <c r="B129" s="19"/>
      <c r="C129" s="20"/>
      <c r="D129" s="26"/>
      <c r="E129" s="22"/>
    </row>
    <row r="130" spans="1:5" x14ac:dyDescent="0.25">
      <c r="A130" s="94" t="s">
        <v>173</v>
      </c>
      <c r="B130" s="206" t="s">
        <v>28</v>
      </c>
      <c r="C130" s="206"/>
      <c r="D130" s="29"/>
      <c r="E130" s="29"/>
    </row>
    <row r="131" spans="1:5" ht="54.4" customHeight="1" x14ac:dyDescent="0.25">
      <c r="A131" s="95"/>
      <c r="B131" s="204" t="s">
        <v>155</v>
      </c>
      <c r="C131" s="204"/>
      <c r="D131" s="204"/>
      <c r="E131" s="204"/>
    </row>
    <row r="132" spans="1:5" s="3" customFormat="1" x14ac:dyDescent="0.25">
      <c r="A132" s="47"/>
      <c r="B132" s="28" t="s">
        <v>10</v>
      </c>
      <c r="C132" s="28" t="s">
        <v>471</v>
      </c>
      <c r="D132" s="44">
        <f>30000*3</f>
        <v>90000</v>
      </c>
      <c r="E132" s="56"/>
    </row>
    <row r="133" spans="1:5" s="3" customFormat="1" x14ac:dyDescent="0.25">
      <c r="A133" s="47"/>
      <c r="B133" s="28" t="s">
        <v>16</v>
      </c>
      <c r="C133" s="28" t="s">
        <v>472</v>
      </c>
      <c r="D133" s="44">
        <f>90*3*3*120</f>
        <v>97200</v>
      </c>
      <c r="E133" s="56"/>
    </row>
    <row r="134" spans="1:5" s="3" customFormat="1" x14ac:dyDescent="0.25">
      <c r="A134" s="47"/>
      <c r="B134" s="28" t="s">
        <v>8</v>
      </c>
      <c r="C134" s="28" t="s">
        <v>473</v>
      </c>
      <c r="D134" s="44">
        <f>15*4*3*120</f>
        <v>21600</v>
      </c>
      <c r="E134" s="56"/>
    </row>
    <row r="135" spans="1:5" s="3" customFormat="1" x14ac:dyDescent="0.25">
      <c r="A135" s="47"/>
      <c r="B135" s="28" t="s">
        <v>70</v>
      </c>
      <c r="C135" s="28" t="s">
        <v>194</v>
      </c>
      <c r="D135" s="44">
        <v>60000</v>
      </c>
      <c r="E135" s="45"/>
    </row>
    <row r="136" spans="1:5" s="3" customFormat="1" x14ac:dyDescent="0.25">
      <c r="A136" s="47"/>
      <c r="B136" s="28" t="s">
        <v>102</v>
      </c>
      <c r="C136" s="66" t="s">
        <v>196</v>
      </c>
      <c r="D136" s="44">
        <f>10000*120</f>
        <v>1200000</v>
      </c>
      <c r="E136" s="45"/>
    </row>
    <row r="137" spans="1:5" s="3" customFormat="1" x14ac:dyDescent="0.25">
      <c r="A137" s="92"/>
      <c r="B137" s="51" t="s">
        <v>0</v>
      </c>
      <c r="C137" s="46"/>
      <c r="D137" s="45"/>
      <c r="E137" s="54">
        <f>SUM(D132:D136)</f>
        <v>1468800</v>
      </c>
    </row>
    <row r="138" spans="1:5" s="3" customFormat="1" x14ac:dyDescent="0.25">
      <c r="A138" s="95"/>
      <c r="B138" s="19"/>
      <c r="C138" s="20"/>
      <c r="D138" s="26"/>
      <c r="E138" s="22"/>
    </row>
    <row r="139" spans="1:5" x14ac:dyDescent="0.25">
      <c r="A139" s="94" t="s">
        <v>174</v>
      </c>
      <c r="B139" s="42" t="s">
        <v>103</v>
      </c>
      <c r="D139" s="29"/>
      <c r="E139" s="29"/>
    </row>
    <row r="140" spans="1:5" ht="67.900000000000006" customHeight="1" x14ac:dyDescent="0.25">
      <c r="A140" s="95"/>
      <c r="B140" s="203" t="s">
        <v>251</v>
      </c>
      <c r="C140" s="203"/>
      <c r="D140" s="203"/>
      <c r="E140" s="227"/>
    </row>
    <row r="141" spans="1:5" s="178" customFormat="1" ht="19.149999999999999" customHeight="1" x14ac:dyDescent="0.25">
      <c r="A141" s="47"/>
      <c r="B141" s="28" t="s">
        <v>104</v>
      </c>
      <c r="C141" s="28" t="s">
        <v>197</v>
      </c>
      <c r="D141" s="44">
        <f>SUM(5000*120)</f>
        <v>600000</v>
      </c>
      <c r="E141" s="87"/>
    </row>
    <row r="142" spans="1:5" s="3" customFormat="1" x14ac:dyDescent="0.25">
      <c r="A142" s="47"/>
      <c r="B142" s="28" t="s">
        <v>16</v>
      </c>
      <c r="C142" s="28" t="s">
        <v>498</v>
      </c>
      <c r="D142" s="44">
        <v>10000</v>
      </c>
      <c r="E142" s="56"/>
    </row>
    <row r="143" spans="1:5" s="178" customFormat="1" ht="18" customHeight="1" x14ac:dyDescent="0.25">
      <c r="A143" s="47"/>
      <c r="B143" s="28" t="s">
        <v>110</v>
      </c>
      <c r="C143" s="28" t="s">
        <v>312</v>
      </c>
      <c r="D143" s="44">
        <v>120000</v>
      </c>
      <c r="E143" s="87"/>
    </row>
    <row r="144" spans="1:5" s="178" customFormat="1" ht="18.399999999999999" customHeight="1" x14ac:dyDescent="0.25">
      <c r="A144" s="47"/>
      <c r="B144" s="28" t="s">
        <v>512</v>
      </c>
      <c r="C144" s="28" t="s">
        <v>499</v>
      </c>
      <c r="D144" s="45">
        <v>30000</v>
      </c>
      <c r="E144" s="182"/>
    </row>
    <row r="145" spans="1:5" s="178" customFormat="1" ht="16.149999999999999" customHeight="1" x14ac:dyDescent="0.25">
      <c r="A145" s="47"/>
      <c r="B145" s="28" t="s">
        <v>70</v>
      </c>
      <c r="C145" s="28" t="s">
        <v>279</v>
      </c>
      <c r="D145" s="45">
        <f>600*120</f>
        <v>72000</v>
      </c>
      <c r="E145" s="87"/>
    </row>
    <row r="146" spans="1:5" s="178" customFormat="1" x14ac:dyDescent="0.25">
      <c r="A146" s="47"/>
      <c r="B146" s="46" t="s">
        <v>119</v>
      </c>
      <c r="C146" s="46" t="s">
        <v>500</v>
      </c>
      <c r="D146" s="44">
        <v>8000</v>
      </c>
      <c r="E146" s="182"/>
    </row>
    <row r="147" spans="1:5" ht="16.899999999999999" customHeight="1" x14ac:dyDescent="0.25">
      <c r="A147" s="92"/>
      <c r="B147" s="51" t="s">
        <v>0</v>
      </c>
      <c r="C147" s="46"/>
      <c r="D147" s="45"/>
      <c r="E147" s="54">
        <f>SUM(D141:D146)</f>
        <v>840000</v>
      </c>
    </row>
    <row r="148" spans="1:5" x14ac:dyDescent="0.25">
      <c r="A148" s="95"/>
      <c r="B148" s="19"/>
      <c r="C148" s="20"/>
      <c r="D148" s="26"/>
      <c r="E148" s="22"/>
    </row>
    <row r="149" spans="1:5" s="3" customFormat="1" ht="18" customHeight="1" x14ac:dyDescent="0.25">
      <c r="A149" s="92" t="s">
        <v>442</v>
      </c>
      <c r="B149" s="91" t="s">
        <v>510</v>
      </c>
      <c r="C149" s="88"/>
      <c r="D149" s="87"/>
      <c r="E149" s="87"/>
    </row>
    <row r="150" spans="1:5" ht="71.650000000000006" customHeight="1" x14ac:dyDescent="0.25">
      <c r="A150" s="95"/>
      <c r="B150" s="208" t="s">
        <v>345</v>
      </c>
      <c r="C150" s="209"/>
      <c r="D150" s="209"/>
      <c r="E150" s="209"/>
    </row>
    <row r="151" spans="1:5" s="3" customFormat="1" x14ac:dyDescent="0.25">
      <c r="A151" s="47"/>
      <c r="B151" s="28" t="s">
        <v>390</v>
      </c>
      <c r="C151" s="28" t="s">
        <v>389</v>
      </c>
      <c r="D151" s="44">
        <f>60000*10</f>
        <v>600000</v>
      </c>
      <c r="E151" s="45"/>
    </row>
    <row r="152" spans="1:5" s="3" customFormat="1" x14ac:dyDescent="0.25">
      <c r="A152" s="47"/>
      <c r="B152" s="28" t="s">
        <v>8</v>
      </c>
      <c r="C152" s="28" t="s">
        <v>346</v>
      </c>
      <c r="D152" s="44">
        <v>22000</v>
      </c>
      <c r="E152" s="45"/>
    </row>
    <row r="153" spans="1:5" s="3" customFormat="1" x14ac:dyDescent="0.25">
      <c r="A153" s="47"/>
      <c r="B153" s="69" t="s">
        <v>444</v>
      </c>
      <c r="C153" s="68" t="s">
        <v>433</v>
      </c>
      <c r="D153" s="45">
        <v>3600000</v>
      </c>
      <c r="E153" s="45"/>
    </row>
    <row r="154" spans="1:5" s="3" customFormat="1" x14ac:dyDescent="0.25">
      <c r="A154" s="92"/>
      <c r="B154" s="25" t="s">
        <v>0</v>
      </c>
      <c r="C154" s="13"/>
      <c r="D154" s="29"/>
      <c r="E154" s="18">
        <f>SUM(D151:D153)</f>
        <v>4222000</v>
      </c>
    </row>
    <row r="155" spans="1:5" x14ac:dyDescent="0.25">
      <c r="A155" s="95"/>
      <c r="B155" s="90"/>
      <c r="C155" s="20"/>
      <c r="D155" s="26"/>
      <c r="E155" s="22"/>
    </row>
    <row r="156" spans="1:5" s="3" customFormat="1" ht="21" customHeight="1" x14ac:dyDescent="0.25">
      <c r="A156" s="92" t="s">
        <v>176</v>
      </c>
      <c r="B156" s="219" t="s">
        <v>465</v>
      </c>
      <c r="C156" s="209"/>
      <c r="D156" s="209"/>
      <c r="E156" s="209"/>
    </row>
    <row r="157" spans="1:5" ht="53.45" customHeight="1" x14ac:dyDescent="0.25">
      <c r="A157" s="95"/>
      <c r="B157" s="208" t="s">
        <v>463</v>
      </c>
      <c r="C157" s="209"/>
      <c r="D157" s="209"/>
      <c r="E157" s="209"/>
    </row>
    <row r="158" spans="1:5" s="3" customFormat="1" x14ac:dyDescent="0.25">
      <c r="A158" s="47"/>
      <c r="B158" s="69" t="s">
        <v>443</v>
      </c>
      <c r="C158" s="68" t="s">
        <v>503</v>
      </c>
      <c r="D158" s="45">
        <f>6000000+1000000</f>
        <v>7000000</v>
      </c>
      <c r="E158" s="45"/>
    </row>
    <row r="159" spans="1:5" s="3" customFormat="1" x14ac:dyDescent="0.25">
      <c r="A159" s="92"/>
      <c r="B159" s="25" t="s">
        <v>0</v>
      </c>
      <c r="C159" s="13"/>
      <c r="D159" s="29"/>
      <c r="E159" s="18">
        <f>SUM(D158:D158)</f>
        <v>7000000</v>
      </c>
    </row>
    <row r="160" spans="1:5" x14ac:dyDescent="0.25">
      <c r="A160" s="95"/>
      <c r="B160" s="19"/>
      <c r="C160" s="20"/>
      <c r="D160" s="26"/>
      <c r="E160" s="22"/>
    </row>
    <row r="161" spans="1:5" s="3" customFormat="1" x14ac:dyDescent="0.25">
      <c r="A161" s="92">
        <v>2.11</v>
      </c>
      <c r="B161" s="53" t="s">
        <v>353</v>
      </c>
      <c r="C161" s="62"/>
      <c r="D161" s="52"/>
      <c r="E161" s="56"/>
    </row>
    <row r="162" spans="1:5" ht="88.9" customHeight="1" x14ac:dyDescent="0.25">
      <c r="A162" s="95"/>
      <c r="B162" s="208" t="s">
        <v>350</v>
      </c>
      <c r="C162" s="209"/>
      <c r="D162" s="209"/>
      <c r="E162" s="209"/>
    </row>
    <row r="163" spans="1:5" s="3" customFormat="1" ht="21" customHeight="1" x14ac:dyDescent="0.25">
      <c r="A163" s="47"/>
      <c r="B163" s="28" t="s">
        <v>351</v>
      </c>
      <c r="C163" s="28" t="s">
        <v>342</v>
      </c>
      <c r="D163" s="44">
        <f>25000*8</f>
        <v>200000</v>
      </c>
      <c r="E163" s="45"/>
    </row>
    <row r="164" spans="1:5" s="3" customFormat="1" x14ac:dyDescent="0.25">
      <c r="A164" s="47"/>
      <c r="B164" s="28" t="s">
        <v>16</v>
      </c>
      <c r="C164" s="28" t="s">
        <v>301</v>
      </c>
      <c r="D164" s="44">
        <f>100*3*2*120</f>
        <v>72000</v>
      </c>
      <c r="E164" s="45"/>
    </row>
    <row r="165" spans="1:5" s="3" customFormat="1" x14ac:dyDescent="0.25">
      <c r="A165" s="47"/>
      <c r="B165" s="28" t="s">
        <v>8</v>
      </c>
      <c r="C165" s="28" t="s">
        <v>352</v>
      </c>
      <c r="D165" s="44">
        <v>8000</v>
      </c>
      <c r="E165" s="45"/>
    </row>
    <row r="166" spans="1:5" s="3" customFormat="1" x14ac:dyDescent="0.25">
      <c r="A166" s="47"/>
      <c r="B166" s="67" t="s">
        <v>331</v>
      </c>
      <c r="C166" s="46" t="s">
        <v>434</v>
      </c>
      <c r="D166" s="45">
        <f>8000*120</f>
        <v>960000</v>
      </c>
      <c r="E166" s="44"/>
    </row>
    <row r="167" spans="1:5" s="3" customFormat="1" x14ac:dyDescent="0.25">
      <c r="A167" s="92"/>
      <c r="B167" s="25" t="s">
        <v>0</v>
      </c>
      <c r="C167" s="13"/>
      <c r="D167" s="29"/>
      <c r="E167" s="18">
        <f>SUM(D163:D166)</f>
        <v>1240000</v>
      </c>
    </row>
    <row r="168" spans="1:5" x14ac:dyDescent="0.25">
      <c r="A168" s="95"/>
      <c r="B168" s="19"/>
      <c r="C168" s="20"/>
      <c r="D168" s="26"/>
      <c r="E168" s="22"/>
    </row>
    <row r="169" spans="1:5" x14ac:dyDescent="0.25">
      <c r="A169" s="94" t="s">
        <v>445</v>
      </c>
      <c r="B169" s="42" t="s">
        <v>109</v>
      </c>
      <c r="C169" s="42"/>
      <c r="D169" s="29"/>
      <c r="E169" s="30"/>
    </row>
    <row r="170" spans="1:5" ht="93" customHeight="1" x14ac:dyDescent="0.25">
      <c r="A170" s="95"/>
      <c r="B170" s="204" t="s">
        <v>343</v>
      </c>
      <c r="C170" s="204"/>
      <c r="D170" s="204"/>
      <c r="E170" s="207"/>
    </row>
    <row r="171" spans="1:5" s="3" customFormat="1" x14ac:dyDescent="0.25">
      <c r="A171" s="47"/>
      <c r="B171" s="67" t="s">
        <v>214</v>
      </c>
      <c r="C171" s="28" t="s">
        <v>446</v>
      </c>
      <c r="D171" s="45">
        <v>4800000</v>
      </c>
      <c r="E171" s="45"/>
    </row>
    <row r="172" spans="1:5" s="3" customFormat="1" x14ac:dyDescent="0.25">
      <c r="A172" s="47"/>
      <c r="B172" s="67" t="s">
        <v>504</v>
      </c>
      <c r="C172" s="28" t="s">
        <v>502</v>
      </c>
      <c r="D172" s="45">
        <v>60000</v>
      </c>
      <c r="E172" s="56"/>
    </row>
    <row r="173" spans="1:5" x14ac:dyDescent="0.25">
      <c r="B173" s="25" t="s">
        <v>0</v>
      </c>
      <c r="D173" s="29"/>
      <c r="E173" s="18">
        <f>SUM(D171:D172)</f>
        <v>4860000</v>
      </c>
    </row>
    <row r="174" spans="1:5" x14ac:dyDescent="0.25">
      <c r="A174" s="95"/>
      <c r="B174" s="19"/>
      <c r="C174" s="20"/>
      <c r="D174" s="26"/>
      <c r="E174" s="22"/>
    </row>
    <row r="175" spans="1:5" x14ac:dyDescent="0.25">
      <c r="A175" s="94" t="s">
        <v>447</v>
      </c>
      <c r="B175" s="42" t="s">
        <v>123</v>
      </c>
      <c r="D175" s="29"/>
      <c r="E175" s="29"/>
    </row>
    <row r="176" spans="1:5" ht="45.4" customHeight="1" x14ac:dyDescent="0.25">
      <c r="A176" s="95"/>
      <c r="B176" s="202" t="s">
        <v>313</v>
      </c>
      <c r="C176" s="202"/>
      <c r="D176" s="202"/>
      <c r="E176" s="202"/>
    </row>
    <row r="177" spans="1:5" s="3" customFormat="1" x14ac:dyDescent="0.25">
      <c r="A177" s="47"/>
      <c r="B177" s="28" t="s">
        <v>156</v>
      </c>
      <c r="C177" s="28" t="s">
        <v>474</v>
      </c>
      <c r="D177" s="44">
        <f>2000*120</f>
        <v>240000</v>
      </c>
      <c r="E177" s="45"/>
    </row>
    <row r="178" spans="1:5" s="3" customFormat="1" x14ac:dyDescent="0.25">
      <c r="A178" s="47"/>
      <c r="B178" s="28" t="s">
        <v>436</v>
      </c>
      <c r="C178" s="28" t="s">
        <v>475</v>
      </c>
      <c r="D178" s="44">
        <f>45000*4</f>
        <v>180000</v>
      </c>
      <c r="E178" s="56"/>
    </row>
    <row r="179" spans="1:5" s="3" customFormat="1" x14ac:dyDescent="0.25">
      <c r="A179" s="47"/>
      <c r="B179" s="28" t="s">
        <v>128</v>
      </c>
      <c r="C179" s="28" t="s">
        <v>476</v>
      </c>
      <c r="D179" s="44">
        <f>220*4*3*120</f>
        <v>316800</v>
      </c>
      <c r="E179" s="56"/>
    </row>
    <row r="180" spans="1:5" s="3" customFormat="1" x14ac:dyDescent="0.25">
      <c r="A180" s="47"/>
      <c r="B180" s="28" t="s">
        <v>70</v>
      </c>
      <c r="C180" s="28" t="s">
        <v>435</v>
      </c>
      <c r="D180" s="44">
        <f>400*120</f>
        <v>48000</v>
      </c>
      <c r="E180" s="56"/>
    </row>
    <row r="181" spans="1:5" s="3" customFormat="1" x14ac:dyDescent="0.25">
      <c r="A181" s="47"/>
      <c r="B181" s="28" t="s">
        <v>8</v>
      </c>
      <c r="C181" s="28" t="s">
        <v>437</v>
      </c>
      <c r="D181" s="44">
        <f>15*4*15*120</f>
        <v>108000</v>
      </c>
      <c r="E181" s="56"/>
    </row>
    <row r="182" spans="1:5" x14ac:dyDescent="0.25">
      <c r="B182" s="25" t="s">
        <v>0</v>
      </c>
      <c r="D182" s="29"/>
      <c r="E182" s="18">
        <f>SUM(D177:D181)</f>
        <v>892800</v>
      </c>
    </row>
    <row r="183" spans="1:5" x14ac:dyDescent="0.25">
      <c r="A183" s="95"/>
      <c r="B183" s="19"/>
      <c r="C183" s="20"/>
      <c r="D183" s="26"/>
      <c r="E183" s="22"/>
    </row>
    <row r="184" spans="1:5" x14ac:dyDescent="0.25">
      <c r="A184" s="94" t="s">
        <v>448</v>
      </c>
      <c r="B184" s="206" t="s">
        <v>158</v>
      </c>
      <c r="C184" s="206"/>
      <c r="D184" s="29"/>
      <c r="E184" s="29"/>
    </row>
    <row r="185" spans="1:5" ht="36" customHeight="1" x14ac:dyDescent="0.25">
      <c r="A185" s="95"/>
      <c r="B185" s="225" t="s">
        <v>9</v>
      </c>
      <c r="C185" s="225"/>
      <c r="D185" s="225"/>
      <c r="E185" s="226"/>
    </row>
    <row r="186" spans="1:5" s="3" customFormat="1" ht="17.649999999999999" customHeight="1" x14ac:dyDescent="0.25">
      <c r="A186" s="47"/>
      <c r="B186" s="85" t="s">
        <v>13</v>
      </c>
      <c r="C186" s="28" t="s">
        <v>228</v>
      </c>
      <c r="D186" s="45">
        <f>3000*120</f>
        <v>360000</v>
      </c>
      <c r="E186" s="45"/>
    </row>
    <row r="187" spans="1:5" s="3" customFormat="1" ht="18.399999999999999" customHeight="1" x14ac:dyDescent="0.25">
      <c r="A187" s="47"/>
      <c r="B187" s="85" t="s">
        <v>314</v>
      </c>
      <c r="C187" s="28" t="s">
        <v>201</v>
      </c>
      <c r="D187" s="45">
        <v>80000</v>
      </c>
      <c r="E187" s="45"/>
    </row>
    <row r="188" spans="1:5" s="3" customFormat="1" x14ac:dyDescent="0.25">
      <c r="A188" s="47"/>
      <c r="B188" s="28" t="s">
        <v>143</v>
      </c>
      <c r="C188" s="28" t="s">
        <v>391</v>
      </c>
      <c r="D188" s="44">
        <v>8000</v>
      </c>
      <c r="E188" s="56"/>
    </row>
    <row r="189" spans="1:5" x14ac:dyDescent="0.25">
      <c r="B189" s="25" t="s">
        <v>0</v>
      </c>
      <c r="D189" s="29"/>
      <c r="E189" s="18">
        <f>SUM(D186:D188)</f>
        <v>448000</v>
      </c>
    </row>
    <row r="190" spans="1:5" x14ac:dyDescent="0.25">
      <c r="A190" s="95"/>
      <c r="B190" s="19"/>
      <c r="C190" s="20"/>
      <c r="D190" s="26"/>
      <c r="E190" s="22"/>
    </row>
    <row r="191" spans="1:5" x14ac:dyDescent="0.25">
      <c r="A191" s="94" t="s">
        <v>449</v>
      </c>
      <c r="B191" s="33" t="s">
        <v>248</v>
      </c>
      <c r="C191" s="34"/>
      <c r="D191" s="14"/>
      <c r="E191" s="18"/>
    </row>
    <row r="192" spans="1:5" ht="39" customHeight="1" x14ac:dyDescent="0.25">
      <c r="A192" s="95"/>
      <c r="B192" s="204" t="s">
        <v>316</v>
      </c>
      <c r="C192" s="204"/>
      <c r="D192" s="204"/>
      <c r="E192" s="204"/>
    </row>
    <row r="193" spans="1:5" s="3" customFormat="1" x14ac:dyDescent="0.25">
      <c r="A193" s="47"/>
      <c r="B193" s="85" t="s">
        <v>11</v>
      </c>
      <c r="C193" s="68" t="s">
        <v>217</v>
      </c>
      <c r="D193" s="44">
        <v>60000</v>
      </c>
      <c r="E193" s="44"/>
    </row>
    <row r="194" spans="1:5" x14ac:dyDescent="0.25">
      <c r="B194" s="31" t="s">
        <v>0</v>
      </c>
      <c r="C194" s="25"/>
      <c r="D194" s="29"/>
      <c r="E194" s="30">
        <f>D193</f>
        <v>60000</v>
      </c>
    </row>
    <row r="195" spans="1:5" x14ac:dyDescent="0.25">
      <c r="A195" s="95"/>
      <c r="B195" s="19"/>
      <c r="C195" s="20"/>
      <c r="D195" s="26"/>
      <c r="E195" s="22"/>
    </row>
    <row r="196" spans="1:5" x14ac:dyDescent="0.25">
      <c r="A196" s="94" t="s">
        <v>359</v>
      </c>
      <c r="B196" s="33" t="s">
        <v>125</v>
      </c>
      <c r="C196" s="34"/>
      <c r="D196" s="14"/>
      <c r="E196" s="18"/>
    </row>
    <row r="197" spans="1:5" ht="37.9" customHeight="1" x14ac:dyDescent="0.25">
      <c r="A197" s="95"/>
      <c r="B197" s="204" t="s">
        <v>12</v>
      </c>
      <c r="C197" s="204"/>
      <c r="D197" s="204"/>
      <c r="E197" s="205"/>
    </row>
    <row r="198" spans="1:5" s="3" customFormat="1" x14ac:dyDescent="0.25">
      <c r="A198" s="47"/>
      <c r="B198" s="85" t="s">
        <v>11</v>
      </c>
      <c r="C198" s="68" t="s">
        <v>193</v>
      </c>
      <c r="D198" s="44">
        <f>5000*120</f>
        <v>600000</v>
      </c>
      <c r="E198" s="44"/>
    </row>
    <row r="199" spans="1:5" x14ac:dyDescent="0.25">
      <c r="B199" s="31" t="s">
        <v>0</v>
      </c>
      <c r="C199" s="25"/>
      <c r="D199" s="29"/>
      <c r="E199" s="30">
        <f>D198</f>
        <v>600000</v>
      </c>
    </row>
    <row r="200" spans="1:5" x14ac:dyDescent="0.25">
      <c r="A200" s="95"/>
      <c r="B200" s="19"/>
      <c r="C200" s="20"/>
      <c r="D200" s="26"/>
      <c r="E200" s="22"/>
    </row>
    <row r="201" spans="1:5" x14ac:dyDescent="0.25">
      <c r="A201" s="94" t="s">
        <v>358</v>
      </c>
      <c r="B201" s="33" t="s">
        <v>215</v>
      </c>
      <c r="C201" s="34"/>
      <c r="D201" s="14"/>
      <c r="E201" s="18"/>
    </row>
    <row r="202" spans="1:5" ht="34.15" customHeight="1" x14ac:dyDescent="0.25">
      <c r="A202" s="95"/>
      <c r="B202" s="204" t="s">
        <v>216</v>
      </c>
      <c r="C202" s="204"/>
      <c r="D202" s="204"/>
      <c r="E202" s="205"/>
    </row>
    <row r="203" spans="1:5" s="3" customFormat="1" x14ac:dyDescent="0.25">
      <c r="A203" s="47"/>
      <c r="B203" s="85" t="s">
        <v>317</v>
      </c>
      <c r="C203" s="68" t="s">
        <v>193</v>
      </c>
      <c r="D203" s="44">
        <f>5000*120</f>
        <v>600000</v>
      </c>
      <c r="E203" s="44"/>
    </row>
    <row r="204" spans="1:5" x14ac:dyDescent="0.25">
      <c r="B204" s="31" t="s">
        <v>0</v>
      </c>
      <c r="C204" s="25"/>
      <c r="D204" s="29"/>
      <c r="E204" s="30">
        <f>D203</f>
        <v>600000</v>
      </c>
    </row>
    <row r="205" spans="1:5" x14ac:dyDescent="0.25">
      <c r="A205" s="95"/>
      <c r="B205" s="19"/>
      <c r="C205" s="20"/>
      <c r="D205" s="26"/>
      <c r="E205" s="22"/>
    </row>
    <row r="206" spans="1:5" ht="15" customHeight="1" x14ac:dyDescent="0.25">
      <c r="A206" s="94" t="s">
        <v>191</v>
      </c>
      <c r="B206" s="206" t="s">
        <v>141</v>
      </c>
      <c r="C206" s="206"/>
      <c r="D206" s="29"/>
      <c r="E206" s="29"/>
    </row>
    <row r="207" spans="1:5" ht="33.6" customHeight="1" x14ac:dyDescent="0.25">
      <c r="A207" s="19"/>
      <c r="B207" s="225" t="s">
        <v>142</v>
      </c>
      <c r="C207" s="225"/>
      <c r="D207" s="225"/>
      <c r="E207" s="226"/>
    </row>
    <row r="208" spans="1:5" s="3" customFormat="1" x14ac:dyDescent="0.25">
      <c r="A208" s="47"/>
      <c r="B208" s="28" t="s">
        <v>338</v>
      </c>
      <c r="C208" s="46"/>
      <c r="D208" s="44">
        <f>5000000+1000000</f>
        <v>6000000</v>
      </c>
      <c r="E208" s="45"/>
    </row>
    <row r="209" spans="1:5" s="3" customFormat="1" x14ac:dyDescent="0.25">
      <c r="A209" s="47"/>
      <c r="B209" s="28" t="s">
        <v>483</v>
      </c>
      <c r="C209" s="46"/>
      <c r="D209" s="44">
        <f>45000*7</f>
        <v>315000</v>
      </c>
      <c r="E209" s="45"/>
    </row>
    <row r="210" spans="1:5" x14ac:dyDescent="0.25">
      <c r="B210" s="25" t="s">
        <v>0</v>
      </c>
      <c r="D210" s="29"/>
      <c r="E210" s="18">
        <f>SUM(D208:D209)</f>
        <v>6315000</v>
      </c>
    </row>
    <row r="211" spans="1:5" x14ac:dyDescent="0.25">
      <c r="A211" s="19"/>
      <c r="B211" s="19"/>
      <c r="C211" s="20"/>
      <c r="D211" s="26"/>
      <c r="E211" s="22"/>
    </row>
    <row r="212" spans="1:5" x14ac:dyDescent="0.25">
      <c r="A212" s="94" t="s">
        <v>226</v>
      </c>
      <c r="B212" s="42" t="s">
        <v>120</v>
      </c>
      <c r="D212" s="29"/>
      <c r="E212" s="29"/>
    </row>
    <row r="213" spans="1:5" ht="19.149999999999999" customHeight="1" x14ac:dyDescent="0.25">
      <c r="A213" s="19"/>
      <c r="B213" s="203" t="s">
        <v>159</v>
      </c>
      <c r="C213" s="233"/>
      <c r="D213" s="233"/>
      <c r="E213" s="233"/>
    </row>
    <row r="214" spans="1:5" s="3" customFormat="1" x14ac:dyDescent="0.25">
      <c r="A214" s="47"/>
      <c r="B214" s="69" t="s">
        <v>139</v>
      </c>
      <c r="C214" s="68" t="s">
        <v>412</v>
      </c>
      <c r="D214" s="45">
        <v>400000</v>
      </c>
      <c r="E214" s="45"/>
    </row>
    <row r="215" spans="1:5" x14ac:dyDescent="0.25">
      <c r="B215" s="31" t="s">
        <v>0</v>
      </c>
      <c r="D215" s="29"/>
      <c r="E215" s="30">
        <f>SUM(D214:D214)</f>
        <v>400000</v>
      </c>
    </row>
    <row r="216" spans="1:5" x14ac:dyDescent="0.25">
      <c r="A216" s="95"/>
      <c r="B216" s="63"/>
      <c r="C216" s="63"/>
      <c r="D216" s="32"/>
      <c r="E216" s="32"/>
    </row>
    <row r="217" spans="1:5" x14ac:dyDescent="0.25">
      <c r="B217" s="13"/>
      <c r="C217" s="23" t="s">
        <v>25</v>
      </c>
      <c r="D217" s="82"/>
      <c r="E217" s="81">
        <f>+E44+E60+E82+E98+E113+E128+E137+E147+E154+E159+E167+E173+E182+E189+E194+E199+E204+E210+E215</f>
        <v>72957400</v>
      </c>
    </row>
    <row r="218" spans="1:5" x14ac:dyDescent="0.25">
      <c r="A218" s="94">
        <v>3</v>
      </c>
      <c r="B218" s="24" t="s">
        <v>157</v>
      </c>
      <c r="D218" s="29"/>
      <c r="E218" s="29"/>
    </row>
    <row r="219" spans="1:5" x14ac:dyDescent="0.25">
      <c r="B219" s="24"/>
      <c r="D219" s="29"/>
      <c r="E219" s="29"/>
    </row>
    <row r="220" spans="1:5" x14ac:dyDescent="0.25">
      <c r="A220" s="94" t="s">
        <v>177</v>
      </c>
      <c r="B220" s="42" t="s">
        <v>124</v>
      </c>
      <c r="D220" s="29"/>
      <c r="E220" s="29"/>
    </row>
    <row r="221" spans="1:5" ht="43.15" customHeight="1" x14ac:dyDescent="0.25">
      <c r="A221" s="19"/>
      <c r="B221" s="236" t="s">
        <v>116</v>
      </c>
      <c r="C221" s="236"/>
      <c r="D221" s="236"/>
      <c r="E221" s="236"/>
    </row>
    <row r="222" spans="1:5" ht="18" customHeight="1" x14ac:dyDescent="0.25">
      <c r="A222" s="72"/>
      <c r="B222" s="16" t="s">
        <v>432</v>
      </c>
      <c r="D222" s="14">
        <v>1000000</v>
      </c>
      <c r="E222" s="29"/>
    </row>
    <row r="223" spans="1:5" x14ac:dyDescent="0.25">
      <c r="B223" s="31" t="s">
        <v>0</v>
      </c>
      <c r="D223" s="29"/>
      <c r="E223" s="30">
        <f>D222</f>
        <v>1000000</v>
      </c>
    </row>
    <row r="224" spans="1:5" x14ac:dyDescent="0.25">
      <c r="A224" s="19"/>
      <c r="B224" s="19"/>
      <c r="C224" s="20"/>
      <c r="D224" s="26"/>
      <c r="E224" s="22"/>
    </row>
    <row r="225" spans="1:47" s="3" customFormat="1" x14ac:dyDescent="0.25">
      <c r="A225" s="92" t="s">
        <v>178</v>
      </c>
      <c r="B225" s="35" t="s">
        <v>133</v>
      </c>
      <c r="C225" s="36"/>
      <c r="D225" s="84"/>
      <c r="E225" s="84"/>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row>
    <row r="226" spans="1:47" s="4" customFormat="1" ht="18" customHeight="1" x14ac:dyDescent="0.25">
      <c r="A226" s="93"/>
      <c r="B226" s="203" t="s">
        <v>134</v>
      </c>
      <c r="C226" s="203"/>
      <c r="D226" s="203"/>
      <c r="E226" s="203"/>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row>
    <row r="227" spans="1:47" s="3" customFormat="1" x14ac:dyDescent="0.25">
      <c r="A227" s="47"/>
      <c r="B227" s="231" t="s">
        <v>450</v>
      </c>
      <c r="C227" s="232"/>
      <c r="D227" s="44">
        <v>2000000</v>
      </c>
      <c r="E227" s="145"/>
    </row>
    <row r="228" spans="1:47" s="3" customFormat="1" x14ac:dyDescent="0.25">
      <c r="A228" s="92"/>
      <c r="B228" s="85" t="s">
        <v>135</v>
      </c>
      <c r="C228" s="85"/>
      <c r="D228" s="44">
        <v>600000</v>
      </c>
      <c r="E228" s="67"/>
    </row>
    <row r="229" spans="1:47" s="3" customFormat="1" x14ac:dyDescent="0.25">
      <c r="A229" s="92"/>
      <c r="B229" s="31" t="s">
        <v>0</v>
      </c>
      <c r="C229" s="7"/>
      <c r="D229" s="74"/>
      <c r="E229" s="30">
        <f>SUM(D227:D228)</f>
        <v>2600000</v>
      </c>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row>
    <row r="230" spans="1:47" s="3" customFormat="1" x14ac:dyDescent="0.25">
      <c r="A230" s="93"/>
      <c r="B230" s="61"/>
      <c r="C230" s="61"/>
      <c r="D230" s="73"/>
      <c r="E230" s="73"/>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row>
    <row r="231" spans="1:47" s="3" customFormat="1" x14ac:dyDescent="0.25">
      <c r="A231" s="92" t="s">
        <v>179</v>
      </c>
      <c r="B231" s="35" t="s">
        <v>481</v>
      </c>
      <c r="C231" s="36"/>
      <c r="D231" s="84"/>
      <c r="E231" s="84"/>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row>
    <row r="232" spans="1:47" s="3" customFormat="1" ht="39.4" customHeight="1" x14ac:dyDescent="0.25">
      <c r="A232" s="19"/>
      <c r="B232" s="203" t="s">
        <v>231</v>
      </c>
      <c r="C232" s="203"/>
      <c r="D232" s="203"/>
      <c r="E232" s="203"/>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row>
    <row r="233" spans="1:47" s="3" customFormat="1" x14ac:dyDescent="0.25">
      <c r="A233" s="47"/>
      <c r="B233" s="85" t="s">
        <v>136</v>
      </c>
      <c r="C233" s="85"/>
      <c r="D233" s="44">
        <v>1000000</v>
      </c>
      <c r="E233" s="146"/>
    </row>
    <row r="234" spans="1:47" s="3" customFormat="1" x14ac:dyDescent="0.25">
      <c r="A234" s="92"/>
      <c r="B234" s="31" t="s">
        <v>0</v>
      </c>
      <c r="C234" s="7"/>
      <c r="D234" s="74"/>
      <c r="E234" s="30">
        <f>SUM(D233:D233)</f>
        <v>1000000</v>
      </c>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row>
    <row r="235" spans="1:47" s="3" customFormat="1" x14ac:dyDescent="0.25">
      <c r="A235" s="19"/>
      <c r="B235" s="230"/>
      <c r="C235" s="230"/>
      <c r="D235" s="230"/>
      <c r="E235" s="230"/>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row>
    <row r="236" spans="1:47" s="3" customFormat="1" x14ac:dyDescent="0.25">
      <c r="A236" s="92" t="s">
        <v>180</v>
      </c>
      <c r="B236" s="33" t="s">
        <v>165</v>
      </c>
      <c r="C236" s="7"/>
      <c r="D236" s="74"/>
      <c r="E236" s="30"/>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row>
    <row r="237" spans="1:47" s="3" customFormat="1" ht="35.65" customHeight="1" x14ac:dyDescent="0.25">
      <c r="A237" s="19"/>
      <c r="B237" s="203" t="s">
        <v>164</v>
      </c>
      <c r="C237" s="203"/>
      <c r="D237" s="203"/>
      <c r="E237" s="203"/>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row>
    <row r="238" spans="1:47" s="3" customFormat="1" x14ac:dyDescent="0.25">
      <c r="A238" s="47"/>
      <c r="B238" s="85" t="s">
        <v>163</v>
      </c>
      <c r="C238" s="37"/>
      <c r="D238" s="59">
        <f>400000/2</f>
        <v>200000</v>
      </c>
      <c r="E238" s="87"/>
    </row>
    <row r="239" spans="1:47" s="3" customFormat="1" ht="18.600000000000001" customHeight="1" x14ac:dyDescent="0.25">
      <c r="A239" s="47"/>
      <c r="B239" s="85" t="s">
        <v>218</v>
      </c>
      <c r="C239" s="37"/>
      <c r="D239" s="59">
        <v>150000</v>
      </c>
      <c r="E239" s="45"/>
    </row>
    <row r="240" spans="1:47" s="3" customFormat="1" x14ac:dyDescent="0.25">
      <c r="A240" s="47"/>
      <c r="B240" s="85" t="s">
        <v>219</v>
      </c>
      <c r="C240" s="37"/>
      <c r="D240" s="59">
        <v>50000</v>
      </c>
      <c r="E240" s="45"/>
    </row>
    <row r="241" spans="1:47" s="3" customFormat="1" x14ac:dyDescent="0.25">
      <c r="A241" s="47"/>
      <c r="B241" s="85" t="s">
        <v>482</v>
      </c>
      <c r="C241" s="37"/>
      <c r="D241" s="59">
        <f>200000+300000</f>
        <v>500000</v>
      </c>
      <c r="E241" s="45"/>
    </row>
    <row r="242" spans="1:47" s="3" customFormat="1" x14ac:dyDescent="0.25">
      <c r="A242" s="92"/>
      <c r="B242" s="31" t="s">
        <v>0</v>
      </c>
      <c r="C242" s="7"/>
      <c r="D242" s="74"/>
      <c r="E242" s="30">
        <f>SUM(D238:D241)</f>
        <v>900000</v>
      </c>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row>
    <row r="243" spans="1:47" s="3" customFormat="1" x14ac:dyDescent="0.25">
      <c r="A243" s="19"/>
      <c r="B243" s="230"/>
      <c r="C243" s="230"/>
      <c r="D243" s="230"/>
      <c r="E243" s="230"/>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row>
    <row r="244" spans="1:47" x14ac:dyDescent="0.25">
      <c r="A244" s="94" t="s">
        <v>181</v>
      </c>
      <c r="B244" s="42" t="s">
        <v>225</v>
      </c>
      <c r="C244" s="42"/>
      <c r="D244" s="29"/>
      <c r="E244" s="30"/>
    </row>
    <row r="245" spans="1:47" ht="52.15" customHeight="1" x14ac:dyDescent="0.25">
      <c r="A245" s="19"/>
      <c r="B245" s="204" t="s">
        <v>224</v>
      </c>
      <c r="C245" s="204"/>
      <c r="D245" s="204"/>
      <c r="E245" s="207"/>
    </row>
    <row r="246" spans="1:47" s="3" customFormat="1" x14ac:dyDescent="0.25">
      <c r="A246" s="47"/>
      <c r="B246" s="67" t="s">
        <v>107</v>
      </c>
      <c r="C246" s="28" t="s">
        <v>223</v>
      </c>
      <c r="D246" s="45">
        <v>120000</v>
      </c>
      <c r="E246" s="45"/>
    </row>
    <row r="247" spans="1:47" s="3" customFormat="1" x14ac:dyDescent="0.25">
      <c r="A247" s="92"/>
      <c r="B247" s="60" t="s">
        <v>0</v>
      </c>
      <c r="C247" s="55"/>
      <c r="D247" s="45"/>
      <c r="E247" s="86">
        <f>SUM(D246:D246)</f>
        <v>120000</v>
      </c>
    </row>
    <row r="248" spans="1:47" s="3" customFormat="1" x14ac:dyDescent="0.25">
      <c r="A248" s="230"/>
      <c r="B248" s="230"/>
      <c r="C248" s="230"/>
      <c r="D248" s="230"/>
      <c r="E248" s="61"/>
    </row>
    <row r="249" spans="1:47" x14ac:dyDescent="0.25">
      <c r="A249" s="94" t="s">
        <v>182</v>
      </c>
      <c r="B249" s="42" t="s">
        <v>121</v>
      </c>
      <c r="C249" s="42"/>
      <c r="D249" s="29"/>
      <c r="E249" s="30"/>
    </row>
    <row r="250" spans="1:47" ht="64.900000000000006" customHeight="1" x14ac:dyDescent="0.25">
      <c r="A250" s="19"/>
      <c r="B250" s="204" t="s">
        <v>106</v>
      </c>
      <c r="C250" s="204"/>
      <c r="D250" s="204"/>
      <c r="E250" s="207"/>
    </row>
    <row r="251" spans="1:47" s="3" customFormat="1" x14ac:dyDescent="0.25">
      <c r="A251" s="47"/>
      <c r="B251" s="67" t="s">
        <v>107</v>
      </c>
      <c r="C251" s="28" t="s">
        <v>223</v>
      </c>
      <c r="D251" s="45">
        <v>120000</v>
      </c>
      <c r="E251" s="45"/>
    </row>
    <row r="252" spans="1:47" s="3" customFormat="1" x14ac:dyDescent="0.25">
      <c r="A252" s="47"/>
      <c r="B252" s="37" t="s">
        <v>108</v>
      </c>
      <c r="C252" s="55" t="s">
        <v>195</v>
      </c>
      <c r="D252" s="45">
        <v>30000</v>
      </c>
      <c r="E252" s="45"/>
    </row>
    <row r="253" spans="1:47" x14ac:dyDescent="0.25">
      <c r="B253" s="25" t="s">
        <v>0</v>
      </c>
      <c r="D253" s="29"/>
      <c r="E253" s="18">
        <f>SUM(D251:D252)</f>
        <v>150000</v>
      </c>
    </row>
    <row r="254" spans="1:47" s="3" customFormat="1" x14ac:dyDescent="0.25">
      <c r="A254" s="230"/>
      <c r="B254" s="230"/>
      <c r="C254" s="230"/>
      <c r="D254" s="230"/>
      <c r="E254" s="61"/>
    </row>
    <row r="255" spans="1:47" x14ac:dyDescent="0.25">
      <c r="A255" s="94" t="s">
        <v>183</v>
      </c>
      <c r="B255" s="42" t="s">
        <v>361</v>
      </c>
      <c r="D255" s="29"/>
      <c r="E255" s="29"/>
    </row>
    <row r="256" spans="1:47" ht="19.899999999999999" customHeight="1" x14ac:dyDescent="0.25">
      <c r="A256" s="19"/>
      <c r="B256" s="203" t="s">
        <v>230</v>
      </c>
      <c r="C256" s="233"/>
      <c r="D256" s="233"/>
      <c r="E256" s="233"/>
    </row>
    <row r="257" spans="1:5" s="3" customFormat="1" x14ac:dyDescent="0.25">
      <c r="A257" s="47"/>
      <c r="B257" s="69" t="s">
        <v>362</v>
      </c>
      <c r="C257" s="46" t="s">
        <v>438</v>
      </c>
      <c r="D257" s="45">
        <v>500000</v>
      </c>
      <c r="E257" s="45"/>
    </row>
    <row r="258" spans="1:5" x14ac:dyDescent="0.25">
      <c r="B258" s="25" t="s">
        <v>0</v>
      </c>
      <c r="D258" s="29"/>
      <c r="E258" s="18">
        <f>SUM(D257)</f>
        <v>500000</v>
      </c>
    </row>
    <row r="259" spans="1:5" s="3" customFormat="1" x14ac:dyDescent="0.25">
      <c r="A259" s="230"/>
      <c r="B259" s="230"/>
      <c r="C259" s="230"/>
      <c r="D259" s="230"/>
      <c r="E259" s="61"/>
    </row>
    <row r="260" spans="1:5" x14ac:dyDescent="0.25">
      <c r="A260" s="94" t="s">
        <v>184</v>
      </c>
      <c r="B260" s="42" t="s">
        <v>130</v>
      </c>
      <c r="D260" s="29"/>
      <c r="E260" s="29"/>
    </row>
    <row r="261" spans="1:5" ht="70.900000000000006" customHeight="1" x14ac:dyDescent="0.25">
      <c r="A261" s="19"/>
      <c r="B261" s="203" t="s">
        <v>129</v>
      </c>
      <c r="C261" s="203"/>
      <c r="D261" s="203"/>
      <c r="E261" s="203"/>
    </row>
    <row r="262" spans="1:5" s="3" customFormat="1" ht="21.6" customHeight="1" x14ac:dyDescent="0.25">
      <c r="A262" s="47"/>
      <c r="B262" s="28" t="s">
        <v>244</v>
      </c>
      <c r="C262" s="64" t="s">
        <v>505</v>
      </c>
      <c r="D262" s="44">
        <f>2000000+200000</f>
        <v>2200000</v>
      </c>
      <c r="E262" s="45"/>
    </row>
    <row r="263" spans="1:5" x14ac:dyDescent="0.25">
      <c r="B263" s="25" t="s">
        <v>0</v>
      </c>
      <c r="D263" s="29"/>
      <c r="E263" s="18">
        <f>SUM(D262:D262)</f>
        <v>2200000</v>
      </c>
    </row>
    <row r="264" spans="1:5" x14ac:dyDescent="0.25">
      <c r="A264" s="19"/>
      <c r="B264" s="19"/>
      <c r="C264" s="20"/>
      <c r="D264" s="26"/>
      <c r="E264" s="22"/>
    </row>
    <row r="265" spans="1:5" s="2" customFormat="1" x14ac:dyDescent="0.25">
      <c r="A265" s="94" t="s">
        <v>185</v>
      </c>
      <c r="B265" s="5" t="s">
        <v>151</v>
      </c>
      <c r="C265" s="42"/>
      <c r="D265" s="29"/>
      <c r="E265" s="30"/>
    </row>
    <row r="266" spans="1:5" s="2" customFormat="1" ht="77.650000000000006" customHeight="1" x14ac:dyDescent="0.25">
      <c r="A266" s="19"/>
      <c r="B266" s="234" t="s">
        <v>344</v>
      </c>
      <c r="C266" s="235"/>
      <c r="D266" s="235"/>
      <c r="E266" s="235"/>
    </row>
    <row r="267" spans="1:5" s="3" customFormat="1" ht="20.45" customHeight="1" x14ac:dyDescent="0.25">
      <c r="A267" s="47"/>
      <c r="B267" s="28" t="s">
        <v>152</v>
      </c>
      <c r="C267" s="28" t="s">
        <v>451</v>
      </c>
      <c r="D267" s="44">
        <f>4*500000</f>
        <v>2000000</v>
      </c>
      <c r="E267" s="45"/>
    </row>
    <row r="268" spans="1:5" s="2" customFormat="1" x14ac:dyDescent="0.25">
      <c r="A268" s="94"/>
      <c r="B268" s="25" t="s">
        <v>0</v>
      </c>
      <c r="C268" s="42"/>
      <c r="D268" s="30"/>
      <c r="E268" s="30">
        <f>SUM(D267:D267)</f>
        <v>2000000</v>
      </c>
    </row>
    <row r="269" spans="1:5" x14ac:dyDescent="0.25">
      <c r="A269" s="19"/>
      <c r="B269" s="19"/>
      <c r="C269" s="20"/>
      <c r="D269" s="26"/>
      <c r="E269" s="22"/>
    </row>
    <row r="270" spans="1:5" x14ac:dyDescent="0.25">
      <c r="A270" s="94" t="s">
        <v>232</v>
      </c>
      <c r="B270" s="42" t="s">
        <v>122</v>
      </c>
      <c r="C270" s="42"/>
      <c r="D270" s="16"/>
      <c r="E270" s="16"/>
    </row>
    <row r="271" spans="1:5" ht="34.9" customHeight="1" x14ac:dyDescent="0.25">
      <c r="A271" s="19"/>
      <c r="B271" s="203" t="s">
        <v>315</v>
      </c>
      <c r="C271" s="203"/>
      <c r="D271" s="203"/>
      <c r="E271" s="239"/>
    </row>
    <row r="272" spans="1:5" s="3" customFormat="1" x14ac:dyDescent="0.25">
      <c r="A272" s="47"/>
      <c r="B272" s="28" t="s">
        <v>105</v>
      </c>
      <c r="C272" s="28"/>
      <c r="D272" s="45">
        <v>150000</v>
      </c>
      <c r="E272" s="45"/>
    </row>
    <row r="273" spans="1:5" x14ac:dyDescent="0.25">
      <c r="B273" s="25" t="s">
        <v>0</v>
      </c>
      <c r="D273" s="16"/>
      <c r="E273" s="18">
        <f>SUM(D272:D272)</f>
        <v>150000</v>
      </c>
    </row>
    <row r="274" spans="1:5" x14ac:dyDescent="0.25">
      <c r="A274" s="19"/>
      <c r="B274" s="19"/>
      <c r="C274" s="20"/>
      <c r="D274" s="26"/>
      <c r="E274" s="22"/>
    </row>
    <row r="275" spans="1:5" x14ac:dyDescent="0.25">
      <c r="A275" s="94" t="s">
        <v>242</v>
      </c>
      <c r="B275" s="42" t="s">
        <v>220</v>
      </c>
      <c r="C275" s="42"/>
      <c r="D275" s="16"/>
      <c r="E275" s="16"/>
    </row>
    <row r="276" spans="1:5" ht="82.15" customHeight="1" x14ac:dyDescent="0.25">
      <c r="A276" s="19"/>
      <c r="B276" s="203" t="s">
        <v>456</v>
      </c>
      <c r="C276" s="203"/>
      <c r="D276" s="203"/>
      <c r="E276" s="239"/>
    </row>
    <row r="277" spans="1:5" s="142" customFormat="1" x14ac:dyDescent="0.25">
      <c r="A277" s="47"/>
      <c r="B277" s="72" t="s">
        <v>458</v>
      </c>
      <c r="C277" s="28"/>
      <c r="D277" s="45">
        <v>1000000</v>
      </c>
      <c r="E277" s="52"/>
    </row>
    <row r="278" spans="1:5" s="142" customFormat="1" x14ac:dyDescent="0.25">
      <c r="A278" s="47"/>
      <c r="B278" s="72" t="s">
        <v>457</v>
      </c>
      <c r="C278" s="28"/>
      <c r="D278" s="45">
        <v>1000000</v>
      </c>
      <c r="E278" s="52"/>
    </row>
    <row r="279" spans="1:5" s="142" customFormat="1" x14ac:dyDescent="0.25">
      <c r="A279" s="47"/>
      <c r="B279" s="72" t="s">
        <v>459</v>
      </c>
      <c r="C279" s="28"/>
      <c r="D279" s="45">
        <v>1000000</v>
      </c>
      <c r="E279" s="52"/>
    </row>
    <row r="280" spans="1:5" s="142" customFormat="1" x14ac:dyDescent="0.25">
      <c r="A280" s="47"/>
      <c r="B280" s="72" t="s">
        <v>462</v>
      </c>
      <c r="C280" s="28"/>
      <c r="D280" s="45">
        <v>1000000</v>
      </c>
      <c r="E280" s="52"/>
    </row>
    <row r="281" spans="1:5" s="142" customFormat="1" x14ac:dyDescent="0.25">
      <c r="A281" s="47"/>
      <c r="B281" s="72" t="s">
        <v>461</v>
      </c>
      <c r="C281" s="28"/>
      <c r="D281" s="45">
        <v>1000000</v>
      </c>
      <c r="E281" s="52"/>
    </row>
    <row r="282" spans="1:5" s="142" customFormat="1" x14ac:dyDescent="0.25">
      <c r="A282" s="47"/>
      <c r="B282" s="72" t="s">
        <v>460</v>
      </c>
      <c r="C282" s="28"/>
      <c r="D282" s="45">
        <v>1000000</v>
      </c>
      <c r="E282" s="52"/>
    </row>
    <row r="283" spans="1:5" s="142" customFormat="1" x14ac:dyDescent="0.25">
      <c r="A283" s="161"/>
      <c r="B283" s="163" t="s">
        <v>466</v>
      </c>
      <c r="C283" s="162"/>
      <c r="D283" s="160">
        <v>1000000</v>
      </c>
      <c r="E283" s="52"/>
    </row>
    <row r="284" spans="1:5" s="96" customFormat="1" x14ac:dyDescent="0.25">
      <c r="A284" s="157"/>
      <c r="B284" s="158" t="s">
        <v>0</v>
      </c>
      <c r="C284" s="159"/>
      <c r="D284" s="159"/>
      <c r="E284" s="18">
        <f>SUM(D277:D283)</f>
        <v>7000000</v>
      </c>
    </row>
    <row r="285" spans="1:5" s="96" customFormat="1" x14ac:dyDescent="0.25">
      <c r="A285" s="94" t="s">
        <v>186</v>
      </c>
      <c r="B285" s="42" t="s">
        <v>145</v>
      </c>
      <c r="C285" s="42"/>
      <c r="D285" s="29"/>
      <c r="E285" s="30"/>
    </row>
    <row r="286" spans="1:5" s="96" customFormat="1" ht="100.9" customHeight="1" x14ac:dyDescent="0.25">
      <c r="A286" s="19"/>
      <c r="B286" s="236" t="s">
        <v>146</v>
      </c>
      <c r="C286" s="236"/>
      <c r="D286" s="236"/>
      <c r="E286" s="242"/>
    </row>
    <row r="287" spans="1:5" s="184" customFormat="1" x14ac:dyDescent="0.25">
      <c r="A287" s="47"/>
      <c r="B287" s="67" t="s">
        <v>221</v>
      </c>
      <c r="C287" s="28"/>
      <c r="D287" s="45">
        <f>7000000+1000000</f>
        <v>8000000</v>
      </c>
      <c r="E287" s="44"/>
    </row>
    <row r="288" spans="1:5" s="58" customFormat="1" x14ac:dyDescent="0.25">
      <c r="A288" s="92"/>
      <c r="B288" s="51" t="s">
        <v>0</v>
      </c>
      <c r="C288" s="46"/>
      <c r="D288" s="45"/>
      <c r="E288" s="54">
        <f>+D287</f>
        <v>8000000</v>
      </c>
    </row>
    <row r="289" spans="1:5" x14ac:dyDescent="0.25">
      <c r="A289" s="19"/>
      <c r="B289" s="19"/>
      <c r="C289" s="20"/>
      <c r="D289" s="26"/>
      <c r="E289" s="22"/>
    </row>
    <row r="290" spans="1:5" ht="21" customHeight="1" x14ac:dyDescent="0.25">
      <c r="A290" s="51" t="s">
        <v>187</v>
      </c>
      <c r="B290" s="53" t="s">
        <v>243</v>
      </c>
      <c r="C290" s="62"/>
      <c r="D290" s="45"/>
      <c r="E290" s="52"/>
    </row>
    <row r="291" spans="1:5" ht="24" customHeight="1" x14ac:dyDescent="0.25">
      <c r="A291" s="19"/>
      <c r="B291" s="208" t="s">
        <v>360</v>
      </c>
      <c r="C291" s="241"/>
      <c r="D291" s="241"/>
      <c r="E291" s="241"/>
    </row>
    <row r="292" spans="1:5" s="3" customFormat="1" x14ac:dyDescent="0.25">
      <c r="A292" s="104"/>
      <c r="B292" s="67" t="s">
        <v>221</v>
      </c>
      <c r="C292" s="28"/>
      <c r="D292" s="45">
        <v>8000000</v>
      </c>
      <c r="E292" s="45"/>
    </row>
    <row r="293" spans="1:5" x14ac:dyDescent="0.25">
      <c r="A293" s="51"/>
      <c r="C293" s="62" t="s">
        <v>222</v>
      </c>
      <c r="D293" s="45"/>
      <c r="E293" s="52">
        <f>SUM(D292:D292)</f>
        <v>8000000</v>
      </c>
    </row>
    <row r="294" spans="1:5" x14ac:dyDescent="0.25">
      <c r="A294" s="19"/>
      <c r="B294" s="19"/>
      <c r="C294" s="20"/>
      <c r="D294" s="26"/>
      <c r="E294" s="22"/>
    </row>
    <row r="295" spans="1:5" s="3" customFormat="1" x14ac:dyDescent="0.25">
      <c r="A295" s="51">
        <v>3.14</v>
      </c>
      <c r="B295" s="53" t="s">
        <v>319</v>
      </c>
      <c r="C295" s="62"/>
      <c r="D295" s="59"/>
      <c r="E295" s="52"/>
    </row>
    <row r="296" spans="1:5" ht="41.65" customHeight="1" x14ac:dyDescent="0.25">
      <c r="A296" s="19"/>
      <c r="B296" s="208" t="s">
        <v>318</v>
      </c>
      <c r="C296" s="245"/>
      <c r="D296" s="245"/>
      <c r="E296" s="245"/>
    </row>
    <row r="297" spans="1:5" s="178" customFormat="1" ht="19.149999999999999" customHeight="1" x14ac:dyDescent="0.25">
      <c r="A297" s="104"/>
      <c r="B297" s="67" t="s">
        <v>221</v>
      </c>
      <c r="C297" s="28"/>
      <c r="D297" s="45">
        <f>500000+100000</f>
        <v>600000</v>
      </c>
      <c r="E297" s="87"/>
    </row>
    <row r="298" spans="1:5" s="3" customFormat="1" x14ac:dyDescent="0.25">
      <c r="A298" s="51"/>
      <c r="B298" s="7"/>
      <c r="C298" s="62" t="s">
        <v>222</v>
      </c>
      <c r="D298" s="45"/>
      <c r="E298" s="52">
        <f>SUM(D297:D297)</f>
        <v>600000</v>
      </c>
    </row>
    <row r="299" spans="1:5" x14ac:dyDescent="0.25">
      <c r="A299" s="19"/>
      <c r="B299" s="19"/>
      <c r="C299" s="20"/>
      <c r="D299" s="21"/>
      <c r="E299" s="22"/>
    </row>
    <row r="300" spans="1:5" s="3" customFormat="1" x14ac:dyDescent="0.25">
      <c r="A300" s="51" t="s">
        <v>188</v>
      </c>
      <c r="B300" s="53" t="s">
        <v>321</v>
      </c>
      <c r="C300" s="62"/>
      <c r="D300" s="59"/>
      <c r="E300" s="52"/>
    </row>
    <row r="301" spans="1:5" ht="41.65" customHeight="1" x14ac:dyDescent="0.25">
      <c r="A301" s="19"/>
      <c r="B301" s="208" t="s">
        <v>320</v>
      </c>
      <c r="C301" s="245"/>
      <c r="D301" s="245"/>
      <c r="E301" s="245"/>
    </row>
    <row r="302" spans="1:5" s="178" customFormat="1" ht="19.149999999999999" customHeight="1" x14ac:dyDescent="0.25">
      <c r="A302" s="104"/>
      <c r="B302" s="67" t="s">
        <v>221</v>
      </c>
      <c r="C302" s="28"/>
      <c r="D302" s="45">
        <f>500000+100000</f>
        <v>600000</v>
      </c>
      <c r="E302" s="87"/>
    </row>
    <row r="303" spans="1:5" s="3" customFormat="1" x14ac:dyDescent="0.25">
      <c r="A303" s="51"/>
      <c r="B303" s="7"/>
      <c r="C303" s="62" t="s">
        <v>222</v>
      </c>
      <c r="D303" s="45"/>
      <c r="E303" s="52">
        <f>SUM(D302:D302)</f>
        <v>600000</v>
      </c>
    </row>
    <row r="304" spans="1:5" x14ac:dyDescent="0.25">
      <c r="A304" s="19"/>
      <c r="B304" s="19"/>
      <c r="C304" s="20"/>
      <c r="D304" s="21"/>
      <c r="E304" s="22"/>
    </row>
    <row r="305" spans="1:5" x14ac:dyDescent="0.25">
      <c r="B305" s="27"/>
      <c r="C305" s="38" t="s">
        <v>161</v>
      </c>
      <c r="D305" s="39"/>
      <c r="E305" s="40">
        <f>E223+E229+E234+E242+E247+E253+E258+E263+E268+E273+E284+E288+E293+E298+E303</f>
        <v>34820000</v>
      </c>
    </row>
    <row r="306" spans="1:5" ht="21" customHeight="1" x14ac:dyDescent="0.25">
      <c r="A306" s="51">
        <v>4</v>
      </c>
      <c r="B306" s="53" t="s">
        <v>386</v>
      </c>
      <c r="C306" s="62"/>
      <c r="D306" s="45"/>
      <c r="E306" s="52"/>
    </row>
    <row r="307" spans="1:5" ht="145.9" customHeight="1" x14ac:dyDescent="0.25">
      <c r="A307" s="19"/>
      <c r="B307" s="208" t="s">
        <v>392</v>
      </c>
      <c r="C307" s="241"/>
      <c r="D307" s="241"/>
      <c r="E307" s="241"/>
    </row>
    <row r="308" spans="1:5" ht="16.899999999999999" customHeight="1" x14ac:dyDescent="0.25">
      <c r="B308" s="94" t="s">
        <v>258</v>
      </c>
      <c r="C308" s="94"/>
      <c r="D308" s="13"/>
      <c r="E308" s="7"/>
    </row>
    <row r="309" spans="1:5" ht="16.899999999999999" customHeight="1" x14ac:dyDescent="0.25">
      <c r="A309" s="19"/>
      <c r="B309" s="203" t="s">
        <v>368</v>
      </c>
      <c r="C309" s="203"/>
      <c r="D309" s="203"/>
      <c r="E309" s="244"/>
    </row>
    <row r="310" spans="1:5" s="3" customFormat="1" ht="16.899999999999999" customHeight="1" x14ac:dyDescent="0.25">
      <c r="A310" s="47"/>
      <c r="B310" s="37" t="s">
        <v>369</v>
      </c>
      <c r="C310" s="28" t="s">
        <v>370</v>
      </c>
      <c r="D310" s="192">
        <v>43000</v>
      </c>
      <c r="E310" s="192"/>
    </row>
    <row r="311" spans="1:5" s="3" customFormat="1" ht="16.899999999999999" customHeight="1" x14ac:dyDescent="0.25">
      <c r="A311" s="47"/>
      <c r="B311" s="28" t="s">
        <v>371</v>
      </c>
      <c r="C311" s="28" t="s">
        <v>372</v>
      </c>
      <c r="D311" s="192">
        <v>173000</v>
      </c>
      <c r="E311" s="192"/>
    </row>
    <row r="312" spans="1:5" s="3" customFormat="1" ht="16.899999999999999" customHeight="1" x14ac:dyDescent="0.25">
      <c r="A312" s="47"/>
      <c r="B312" s="28" t="s">
        <v>373</v>
      </c>
      <c r="C312" s="28" t="s">
        <v>374</v>
      </c>
      <c r="D312" s="192">
        <f>250*2*120*4</f>
        <v>240000</v>
      </c>
      <c r="E312" s="192"/>
    </row>
    <row r="313" spans="1:5" s="3" customFormat="1" ht="16.899999999999999" customHeight="1" x14ac:dyDescent="0.25">
      <c r="A313" s="47"/>
      <c r="B313" s="28" t="s">
        <v>259</v>
      </c>
      <c r="C313" s="28" t="s">
        <v>375</v>
      </c>
      <c r="D313" s="192">
        <f>120*600*2</f>
        <v>144000</v>
      </c>
      <c r="E313" s="192"/>
    </row>
    <row r="314" spans="1:5" ht="16.899999999999999" customHeight="1" x14ac:dyDescent="0.25">
      <c r="A314" s="92"/>
      <c r="B314" s="200" t="s">
        <v>0</v>
      </c>
      <c r="C314" s="37"/>
      <c r="D314" s="37"/>
      <c r="E314" s="54">
        <f>SUM(D310:D313)</f>
        <v>600000</v>
      </c>
    </row>
    <row r="315" spans="1:5" ht="16.899999999999999" customHeight="1" x14ac:dyDescent="0.25">
      <c r="A315" s="19"/>
      <c r="B315" s="19"/>
      <c r="C315" s="20"/>
      <c r="D315" s="21"/>
      <c r="E315" s="22"/>
    </row>
    <row r="316" spans="1:5" ht="16.899999999999999" customHeight="1" x14ac:dyDescent="0.25">
      <c r="B316" s="94" t="s">
        <v>260</v>
      </c>
      <c r="D316" s="141"/>
      <c r="E316" s="151"/>
    </row>
    <row r="317" spans="1:5" ht="16.899999999999999" customHeight="1" x14ac:dyDescent="0.25">
      <c r="A317" s="19"/>
      <c r="B317" s="203" t="s">
        <v>363</v>
      </c>
      <c r="C317" s="203"/>
      <c r="D317" s="203"/>
      <c r="E317" s="203"/>
    </row>
    <row r="318" spans="1:5" s="3" customFormat="1" ht="16.899999999999999" customHeight="1" x14ac:dyDescent="0.25">
      <c r="A318" s="47"/>
      <c r="B318" s="47" t="s">
        <v>296</v>
      </c>
      <c r="C318" s="28" t="s">
        <v>364</v>
      </c>
      <c r="D318" s="44">
        <v>45000</v>
      </c>
      <c r="E318" s="143"/>
    </row>
    <row r="319" spans="1:5" s="3" customFormat="1" ht="16.899999999999999" customHeight="1" x14ac:dyDescent="0.25">
      <c r="A319" s="47"/>
      <c r="B319" s="28" t="s">
        <v>365</v>
      </c>
      <c r="C319" s="28" t="s">
        <v>366</v>
      </c>
      <c r="D319" s="192">
        <v>173000</v>
      </c>
      <c r="E319" s="143"/>
    </row>
    <row r="320" spans="1:5" s="3" customFormat="1" ht="16.899999999999999" customHeight="1" x14ac:dyDescent="0.25">
      <c r="A320" s="47"/>
      <c r="B320" s="37" t="s">
        <v>276</v>
      </c>
      <c r="C320" s="28" t="s">
        <v>413</v>
      </c>
      <c r="D320" s="44">
        <f>4*35000</f>
        <v>140000</v>
      </c>
      <c r="E320" s="143"/>
    </row>
    <row r="321" spans="1:6" s="3" customFormat="1" ht="16.899999999999999" customHeight="1" x14ac:dyDescent="0.25">
      <c r="A321" s="47"/>
      <c r="B321" s="37" t="s">
        <v>277</v>
      </c>
      <c r="C321" s="28" t="s">
        <v>279</v>
      </c>
      <c r="D321" s="44">
        <f>600*120</f>
        <v>72000</v>
      </c>
      <c r="E321" s="143"/>
    </row>
    <row r="322" spans="1:6" s="3" customFormat="1" ht="16.899999999999999" customHeight="1" x14ac:dyDescent="0.25">
      <c r="A322" s="47"/>
      <c r="B322" s="47" t="s">
        <v>261</v>
      </c>
      <c r="C322" s="28" t="s">
        <v>367</v>
      </c>
      <c r="D322" s="44">
        <f>10*4*50*120</f>
        <v>240000</v>
      </c>
      <c r="E322" s="143"/>
    </row>
    <row r="323" spans="1:6" ht="16.899999999999999" customHeight="1" x14ac:dyDescent="0.25">
      <c r="B323" s="17" t="s">
        <v>0</v>
      </c>
      <c r="D323" s="141"/>
      <c r="E323" s="18">
        <f>SUM(D318:D322)</f>
        <v>670000</v>
      </c>
    </row>
    <row r="324" spans="1:6" ht="16.899999999999999" customHeight="1" x14ac:dyDescent="0.25">
      <c r="A324" s="19"/>
      <c r="B324" s="19"/>
      <c r="C324" s="20"/>
      <c r="D324" s="21"/>
      <c r="E324" s="22"/>
    </row>
    <row r="325" spans="1:6" ht="16.899999999999999" customHeight="1" x14ac:dyDescent="0.25">
      <c r="B325" s="94" t="s">
        <v>262</v>
      </c>
      <c r="D325" s="141"/>
      <c r="E325" s="151"/>
    </row>
    <row r="326" spans="1:6" ht="16.899999999999999" customHeight="1" x14ac:dyDescent="0.25">
      <c r="A326" s="19"/>
      <c r="B326" s="203" t="s">
        <v>278</v>
      </c>
      <c r="C326" s="203"/>
      <c r="D326" s="203"/>
      <c r="E326" s="203"/>
    </row>
    <row r="327" spans="1:6" s="3" customFormat="1" ht="16.899999999999999" customHeight="1" x14ac:dyDescent="0.25">
      <c r="A327" s="47"/>
      <c r="B327" s="28" t="s">
        <v>376</v>
      </c>
      <c r="C327" s="28" t="s">
        <v>377</v>
      </c>
      <c r="D327" s="44">
        <f>300*6*120</f>
        <v>216000</v>
      </c>
      <c r="E327" s="45"/>
    </row>
    <row r="328" spans="1:6" s="3" customFormat="1" ht="16.899999999999999" customHeight="1" x14ac:dyDescent="0.25">
      <c r="A328" s="47"/>
      <c r="B328" s="28" t="s">
        <v>378</v>
      </c>
      <c r="C328" s="28" t="s">
        <v>379</v>
      </c>
      <c r="D328" s="44">
        <v>159000</v>
      </c>
      <c r="E328" s="45"/>
    </row>
    <row r="329" spans="1:6" s="3" customFormat="1" ht="16.899999999999999" customHeight="1" x14ac:dyDescent="0.25">
      <c r="A329" s="47"/>
      <c r="B329" s="28" t="s">
        <v>263</v>
      </c>
      <c r="C329" s="28" t="s">
        <v>381</v>
      </c>
      <c r="D329" s="44">
        <f>300*6*120</f>
        <v>216000</v>
      </c>
      <c r="E329" s="45"/>
      <c r="F329" s="199">
        <f>D329+D352+D353</f>
        <v>305000</v>
      </c>
    </row>
    <row r="330" spans="1:6" s="3" customFormat="1" ht="16.899999999999999" customHeight="1" x14ac:dyDescent="0.25">
      <c r="A330" s="47"/>
      <c r="B330" s="28" t="s">
        <v>264</v>
      </c>
      <c r="C330" s="28" t="s">
        <v>380</v>
      </c>
      <c r="D330" s="44">
        <f>600*4*120</f>
        <v>288000</v>
      </c>
      <c r="E330" s="45"/>
    </row>
    <row r="331" spans="1:6" s="3" customFormat="1" ht="16.899999999999999" customHeight="1" x14ac:dyDescent="0.25">
      <c r="A331" s="47"/>
      <c r="B331" s="28" t="s">
        <v>265</v>
      </c>
      <c r="C331" s="28" t="s">
        <v>382</v>
      </c>
      <c r="D331" s="44">
        <v>51000</v>
      </c>
      <c r="E331" s="45"/>
    </row>
    <row r="332" spans="1:6" s="3" customFormat="1" ht="16.899999999999999" customHeight="1" x14ac:dyDescent="0.25">
      <c r="A332" s="47"/>
      <c r="B332" s="28" t="s">
        <v>383</v>
      </c>
      <c r="C332" s="28" t="s">
        <v>384</v>
      </c>
      <c r="D332" s="44">
        <f>15*30*6*120</f>
        <v>324000</v>
      </c>
      <c r="E332" s="45"/>
    </row>
    <row r="333" spans="1:6" ht="16.899999999999999" customHeight="1" x14ac:dyDescent="0.25">
      <c r="B333" s="17" t="s">
        <v>0</v>
      </c>
      <c r="D333" s="141"/>
      <c r="E333" s="18">
        <f>SUM(D327:D332)</f>
        <v>1254000</v>
      </c>
    </row>
    <row r="334" spans="1:6" ht="16.899999999999999" customHeight="1" x14ac:dyDescent="0.25">
      <c r="A334" s="19"/>
      <c r="B334" s="19"/>
      <c r="C334" s="20"/>
      <c r="D334" s="21"/>
      <c r="E334" s="22"/>
    </row>
    <row r="335" spans="1:6" ht="16.899999999999999" customHeight="1" x14ac:dyDescent="0.25">
      <c r="B335" s="94" t="s">
        <v>266</v>
      </c>
      <c r="C335" s="94"/>
      <c r="D335" s="13"/>
      <c r="E335" s="7"/>
    </row>
    <row r="336" spans="1:6" ht="16.899999999999999" customHeight="1" x14ac:dyDescent="0.25">
      <c r="A336" s="19"/>
      <c r="B336" s="203" t="s">
        <v>292</v>
      </c>
      <c r="C336" s="203"/>
      <c r="D336" s="203"/>
      <c r="E336" s="244"/>
    </row>
    <row r="337" spans="1:5" s="3" customFormat="1" ht="16.899999999999999" customHeight="1" x14ac:dyDescent="0.25">
      <c r="A337" s="47"/>
      <c r="B337" s="37" t="s">
        <v>283</v>
      </c>
      <c r="C337" s="28" t="s">
        <v>293</v>
      </c>
      <c r="D337" s="192">
        <v>20000</v>
      </c>
      <c r="E337" s="192"/>
    </row>
    <row r="338" spans="1:5" s="3" customFormat="1" ht="16.899999999999999" customHeight="1" x14ac:dyDescent="0.25">
      <c r="A338" s="47"/>
      <c r="B338" s="37" t="s">
        <v>291</v>
      </c>
      <c r="C338" s="28" t="s">
        <v>414</v>
      </c>
      <c r="D338" s="192">
        <f>30000*2</f>
        <v>60000</v>
      </c>
      <c r="E338" s="192"/>
    </row>
    <row r="339" spans="1:5" s="3" customFormat="1" ht="16.899999999999999" customHeight="1" x14ac:dyDescent="0.25">
      <c r="A339" s="47"/>
      <c r="B339" s="37" t="s">
        <v>294</v>
      </c>
      <c r="C339" s="28" t="s">
        <v>295</v>
      </c>
      <c r="D339" s="192">
        <f>100*2*2*120*2</f>
        <v>96000</v>
      </c>
      <c r="E339" s="192"/>
    </row>
    <row r="340" spans="1:5" ht="16.899999999999999" customHeight="1" x14ac:dyDescent="0.25">
      <c r="B340" s="17" t="s">
        <v>0</v>
      </c>
      <c r="C340" s="7"/>
      <c r="D340" s="7"/>
      <c r="E340" s="18">
        <f>SUM(D337:D339)</f>
        <v>176000</v>
      </c>
    </row>
    <row r="341" spans="1:5" ht="16.899999999999999" customHeight="1" x14ac:dyDescent="0.25">
      <c r="A341" s="19"/>
      <c r="B341" s="19"/>
      <c r="C341" s="20"/>
      <c r="D341" s="21"/>
      <c r="E341" s="22"/>
    </row>
    <row r="342" spans="1:5" ht="16.899999999999999" customHeight="1" x14ac:dyDescent="0.25">
      <c r="B342" s="94" t="s">
        <v>267</v>
      </c>
      <c r="D342" s="141"/>
      <c r="E342" s="151"/>
    </row>
    <row r="343" spans="1:5" ht="16.899999999999999" customHeight="1" x14ac:dyDescent="0.25">
      <c r="A343" s="19"/>
      <c r="B343" s="203" t="s">
        <v>285</v>
      </c>
      <c r="C343" s="203"/>
      <c r="D343" s="203"/>
      <c r="E343" s="203"/>
    </row>
    <row r="344" spans="1:5" s="3" customFormat="1" ht="16.899999999999999" customHeight="1" x14ac:dyDescent="0.25">
      <c r="A344" s="47"/>
      <c r="B344" s="37" t="s">
        <v>286</v>
      </c>
      <c r="C344" s="28" t="s">
        <v>288</v>
      </c>
      <c r="D344" s="44">
        <v>22000</v>
      </c>
      <c r="E344" s="143"/>
    </row>
    <row r="345" spans="1:5" s="3" customFormat="1" ht="16.899999999999999" customHeight="1" x14ac:dyDescent="0.25">
      <c r="A345" s="47"/>
      <c r="B345" s="37" t="s">
        <v>300</v>
      </c>
      <c r="C345" s="28" t="s">
        <v>289</v>
      </c>
      <c r="D345" s="192">
        <f>350*2*2*120</f>
        <v>168000</v>
      </c>
      <c r="E345" s="143"/>
    </row>
    <row r="346" spans="1:5" s="3" customFormat="1" ht="16.899999999999999" customHeight="1" x14ac:dyDescent="0.25">
      <c r="A346" s="47"/>
      <c r="B346" s="37" t="s">
        <v>287</v>
      </c>
      <c r="C346" s="28" t="s">
        <v>290</v>
      </c>
      <c r="D346" s="192">
        <v>159000</v>
      </c>
      <c r="E346" s="143"/>
    </row>
    <row r="347" spans="1:5" ht="16.899999999999999" customHeight="1" x14ac:dyDescent="0.25">
      <c r="B347" s="17" t="s">
        <v>0</v>
      </c>
      <c r="D347" s="141"/>
      <c r="E347" s="18">
        <f>SUM(D344:D346)</f>
        <v>349000</v>
      </c>
    </row>
    <row r="348" spans="1:5" ht="16.899999999999999" customHeight="1" x14ac:dyDescent="0.25">
      <c r="A348" s="19"/>
      <c r="B348" s="19"/>
      <c r="C348" s="20"/>
      <c r="D348" s="21"/>
      <c r="E348" s="22"/>
    </row>
    <row r="349" spans="1:5" ht="16.899999999999999" customHeight="1" x14ac:dyDescent="0.25">
      <c r="B349" s="94" t="s">
        <v>274</v>
      </c>
      <c r="D349" s="141"/>
      <c r="E349" s="151"/>
    </row>
    <row r="350" spans="1:5" ht="16.899999999999999" customHeight="1" x14ac:dyDescent="0.25">
      <c r="A350" s="19"/>
      <c r="B350" s="203" t="s">
        <v>268</v>
      </c>
      <c r="C350" s="203"/>
      <c r="D350" s="203"/>
      <c r="E350" s="203"/>
    </row>
    <row r="351" spans="1:5" s="3" customFormat="1" ht="16.899999999999999" customHeight="1" x14ac:dyDescent="0.25">
      <c r="A351" s="47"/>
      <c r="B351" s="47" t="s">
        <v>23</v>
      </c>
      <c r="C351" s="28" t="s">
        <v>297</v>
      </c>
      <c r="D351" s="44">
        <f>150*2*120</f>
        <v>36000</v>
      </c>
      <c r="E351" s="143"/>
    </row>
    <row r="352" spans="1:5" s="3" customFormat="1" ht="16.899999999999999" customHeight="1" x14ac:dyDescent="0.25">
      <c r="A352" s="47"/>
      <c r="B352" s="47" t="s">
        <v>269</v>
      </c>
      <c r="C352" s="28" t="s">
        <v>298</v>
      </c>
      <c r="D352" s="44">
        <v>29000</v>
      </c>
      <c r="E352" s="143"/>
    </row>
    <row r="353" spans="1:6" s="3" customFormat="1" ht="16.899999999999999" customHeight="1" x14ac:dyDescent="0.25">
      <c r="A353" s="47"/>
      <c r="B353" s="37" t="s">
        <v>132</v>
      </c>
      <c r="C353" s="28" t="s">
        <v>299</v>
      </c>
      <c r="D353" s="44">
        <f>250*2*120</f>
        <v>60000</v>
      </c>
      <c r="E353" s="143"/>
    </row>
    <row r="354" spans="1:6" s="3" customFormat="1" ht="16.899999999999999" customHeight="1" x14ac:dyDescent="0.25">
      <c r="A354" s="47"/>
      <c r="B354" s="47" t="s">
        <v>270</v>
      </c>
      <c r="C354" s="28" t="s">
        <v>299</v>
      </c>
      <c r="D354" s="44">
        <f>250*2*120</f>
        <v>60000</v>
      </c>
      <c r="E354" s="143"/>
    </row>
    <row r="355" spans="1:6" ht="16.899999999999999" customHeight="1" x14ac:dyDescent="0.25">
      <c r="B355" s="17" t="s">
        <v>0</v>
      </c>
      <c r="D355" s="141"/>
      <c r="E355" s="18">
        <f>SUM(D351:D354)</f>
        <v>185000</v>
      </c>
    </row>
    <row r="356" spans="1:6" ht="16.899999999999999" customHeight="1" x14ac:dyDescent="0.25">
      <c r="A356" s="19"/>
      <c r="B356" s="19"/>
      <c r="C356" s="20"/>
      <c r="D356" s="21"/>
      <c r="E356" s="22"/>
    </row>
    <row r="357" spans="1:6" ht="16.899999999999999" customHeight="1" x14ac:dyDescent="0.25">
      <c r="B357" s="229" t="s">
        <v>271</v>
      </c>
      <c r="C357" s="229"/>
      <c r="D357" s="151"/>
      <c r="E357" s="141"/>
    </row>
    <row r="358" spans="1:6" ht="16.899999999999999" customHeight="1" x14ac:dyDescent="0.25">
      <c r="A358" s="19"/>
      <c r="B358" s="225" t="s">
        <v>272</v>
      </c>
      <c r="C358" s="225"/>
      <c r="D358" s="225"/>
      <c r="E358" s="243"/>
    </row>
    <row r="359" spans="1:6" s="3" customFormat="1" ht="16.899999999999999" customHeight="1" x14ac:dyDescent="0.25">
      <c r="A359" s="47"/>
      <c r="B359" s="28" t="s">
        <v>273</v>
      </c>
      <c r="C359" s="28" t="s">
        <v>280</v>
      </c>
      <c r="D359" s="44">
        <v>120000</v>
      </c>
      <c r="E359" s="45"/>
    </row>
    <row r="360" spans="1:6" s="3" customFormat="1" ht="16.899999999999999" customHeight="1" x14ac:dyDescent="0.25">
      <c r="A360" s="47"/>
      <c r="B360" s="28" t="s">
        <v>281</v>
      </c>
      <c r="C360" s="28" t="s">
        <v>282</v>
      </c>
      <c r="D360" s="44">
        <f>1500*120</f>
        <v>180000</v>
      </c>
      <c r="E360" s="45"/>
      <c r="F360" s="199"/>
    </row>
    <row r="361" spans="1:6" s="3" customFormat="1" ht="16.899999999999999" customHeight="1" x14ac:dyDescent="0.25">
      <c r="A361" s="47"/>
      <c r="B361" s="28" t="s">
        <v>275</v>
      </c>
      <c r="C361" s="28" t="s">
        <v>284</v>
      </c>
      <c r="D361" s="44">
        <f>200*2*120</f>
        <v>48000</v>
      </c>
      <c r="E361" s="45"/>
    </row>
    <row r="362" spans="1:6" ht="16.899999999999999" customHeight="1" x14ac:dyDescent="0.25">
      <c r="B362" s="27" t="s">
        <v>0</v>
      </c>
      <c r="C362" s="27"/>
      <c r="D362" s="14"/>
      <c r="E362" s="18">
        <f>SUM(D359:D361)</f>
        <v>348000</v>
      </c>
    </row>
    <row r="363" spans="1:6" ht="16.899999999999999" customHeight="1" x14ac:dyDescent="0.25">
      <c r="A363" s="19"/>
      <c r="B363" s="19"/>
      <c r="C363" s="20"/>
      <c r="D363" s="21"/>
      <c r="E363" s="22"/>
    </row>
    <row r="364" spans="1:6" ht="16.899999999999999" customHeight="1" x14ac:dyDescent="0.25">
      <c r="B364" s="27" t="s">
        <v>385</v>
      </c>
      <c r="C364" s="38"/>
      <c r="D364" s="39"/>
      <c r="E364" s="40">
        <f>E314+E323+E333+E340+E347+E355+E362</f>
        <v>3582000</v>
      </c>
    </row>
    <row r="365" spans="1:6" ht="16.5" customHeight="1" x14ac:dyDescent="0.25">
      <c r="A365" s="51"/>
      <c r="B365" s="51"/>
      <c r="C365" s="62"/>
      <c r="D365" s="59"/>
      <c r="E365" s="52"/>
    </row>
    <row r="366" spans="1:6" s="58" customFormat="1" ht="16.5" customHeight="1" x14ac:dyDescent="0.25">
      <c r="A366" s="107">
        <v>5</v>
      </c>
      <c r="B366" s="240" t="s">
        <v>393</v>
      </c>
      <c r="C366" s="240"/>
      <c r="D366" s="108"/>
      <c r="E366" s="109"/>
    </row>
    <row r="367" spans="1:6" s="58" customFormat="1" x14ac:dyDescent="0.25">
      <c r="A367" s="110"/>
      <c r="B367" s="228"/>
      <c r="C367" s="228"/>
      <c r="D367" s="111"/>
      <c r="E367" s="112"/>
    </row>
    <row r="368" spans="1:6" s="58" customFormat="1" x14ac:dyDescent="0.25">
      <c r="A368" s="113" t="s">
        <v>322</v>
      </c>
      <c r="B368" s="114" t="s">
        <v>415</v>
      </c>
      <c r="C368" s="115"/>
      <c r="D368" s="116"/>
      <c r="E368" s="117"/>
    </row>
    <row r="369" spans="1:5" s="58" customFormat="1" x14ac:dyDescent="0.25">
      <c r="A369" s="113"/>
      <c r="B369" s="118" t="s">
        <v>236</v>
      </c>
      <c r="C369" s="115"/>
      <c r="D369" s="116"/>
      <c r="E369" s="117"/>
    </row>
    <row r="370" spans="1:5" s="3" customFormat="1" x14ac:dyDescent="0.25">
      <c r="A370" s="47"/>
      <c r="B370" s="37" t="s">
        <v>95</v>
      </c>
      <c r="C370" s="46" t="s">
        <v>200</v>
      </c>
      <c r="D370" s="44">
        <f>2500*120</f>
        <v>300000</v>
      </c>
      <c r="E370" s="59"/>
    </row>
    <row r="371" spans="1:5" s="3" customFormat="1" x14ac:dyDescent="0.25">
      <c r="A371" s="47"/>
      <c r="B371" s="37" t="s">
        <v>23</v>
      </c>
      <c r="C371" s="46" t="s">
        <v>234</v>
      </c>
      <c r="D371" s="44">
        <f>4000*120</f>
        <v>480000</v>
      </c>
      <c r="E371" s="59"/>
    </row>
    <row r="372" spans="1:5" s="3" customFormat="1" x14ac:dyDescent="0.25">
      <c r="A372" s="47"/>
      <c r="B372" s="37" t="s">
        <v>113</v>
      </c>
      <c r="C372" s="46" t="s">
        <v>201</v>
      </c>
      <c r="D372" s="44">
        <f>800*120</f>
        <v>96000</v>
      </c>
      <c r="E372" s="59"/>
    </row>
    <row r="373" spans="1:5" s="3" customFormat="1" x14ac:dyDescent="0.25">
      <c r="A373" s="47"/>
      <c r="B373" s="37" t="s">
        <v>114</v>
      </c>
      <c r="C373" s="46" t="s">
        <v>203</v>
      </c>
      <c r="D373" s="44">
        <f>2000*120</f>
        <v>240000</v>
      </c>
      <c r="E373" s="59"/>
    </row>
    <row r="374" spans="1:5" s="3" customFormat="1" x14ac:dyDescent="0.25">
      <c r="A374" s="47"/>
      <c r="B374" s="37" t="s">
        <v>34</v>
      </c>
      <c r="C374" s="46" t="s">
        <v>194</v>
      </c>
      <c r="D374" s="44">
        <f>500*120</f>
        <v>60000</v>
      </c>
      <c r="E374" s="59"/>
    </row>
    <row r="375" spans="1:5" s="3" customFormat="1" ht="16.5" customHeight="1" x14ac:dyDescent="0.25">
      <c r="A375" s="47"/>
      <c r="B375" s="37" t="s">
        <v>24</v>
      </c>
      <c r="C375" s="46" t="s">
        <v>202</v>
      </c>
      <c r="D375" s="44">
        <f>3000*120</f>
        <v>360000</v>
      </c>
      <c r="E375" s="59"/>
    </row>
    <row r="376" spans="1:5" s="3" customFormat="1" x14ac:dyDescent="0.25">
      <c r="A376" s="92"/>
      <c r="B376" s="65" t="s">
        <v>0</v>
      </c>
      <c r="C376" s="65"/>
      <c r="D376" s="54"/>
      <c r="E376" s="54">
        <f>SUM(D370:D375)</f>
        <v>1536000</v>
      </c>
    </row>
    <row r="377" spans="1:5" s="3" customFormat="1" x14ac:dyDescent="0.25">
      <c r="A377" s="92"/>
      <c r="B377" s="51"/>
      <c r="C377" s="62"/>
      <c r="D377" s="59"/>
      <c r="E377" s="52"/>
    </row>
    <row r="378" spans="1:5" s="3" customFormat="1" x14ac:dyDescent="0.25">
      <c r="A378" s="92" t="s">
        <v>323</v>
      </c>
      <c r="B378" s="201" t="s">
        <v>416</v>
      </c>
      <c r="C378" s="46"/>
      <c r="D378" s="44"/>
      <c r="E378" s="59"/>
    </row>
    <row r="379" spans="1:5" s="3" customFormat="1" x14ac:dyDescent="0.25">
      <c r="A379" s="92"/>
      <c r="B379" s="37" t="s">
        <v>237</v>
      </c>
      <c r="C379" s="46"/>
      <c r="D379" s="44"/>
      <c r="E379" s="59"/>
    </row>
    <row r="380" spans="1:5" s="3" customFormat="1" x14ac:dyDescent="0.25">
      <c r="A380" s="47"/>
      <c r="B380" s="37" t="s">
        <v>115</v>
      </c>
      <c r="C380" s="28" t="s">
        <v>395</v>
      </c>
      <c r="D380" s="44">
        <f>5000*120</f>
        <v>600000</v>
      </c>
      <c r="E380" s="59"/>
    </row>
    <row r="381" spans="1:5" s="3" customFormat="1" x14ac:dyDescent="0.25">
      <c r="A381" s="47"/>
      <c r="B381" s="37" t="s">
        <v>396</v>
      </c>
      <c r="C381" s="28" t="s">
        <v>201</v>
      </c>
      <c r="D381" s="44">
        <f>800*120</f>
        <v>96000</v>
      </c>
      <c r="E381" s="59"/>
    </row>
    <row r="382" spans="1:5" s="3" customFormat="1" x14ac:dyDescent="0.25">
      <c r="A382" s="47"/>
      <c r="B382" s="37" t="s">
        <v>397</v>
      </c>
      <c r="C382" s="28" t="s">
        <v>256</v>
      </c>
      <c r="D382" s="44">
        <f>2000*120</f>
        <v>240000</v>
      </c>
      <c r="E382" s="59"/>
    </row>
    <row r="383" spans="1:5" s="3" customFormat="1" x14ac:dyDescent="0.25">
      <c r="A383" s="47"/>
      <c r="B383" s="37" t="s">
        <v>35</v>
      </c>
      <c r="C383" s="46" t="s">
        <v>417</v>
      </c>
      <c r="D383" s="44">
        <f>800*120</f>
        <v>96000</v>
      </c>
      <c r="E383" s="59"/>
    </row>
    <row r="384" spans="1:5" s="3" customFormat="1" x14ac:dyDescent="0.25">
      <c r="A384" s="47"/>
      <c r="B384" s="37" t="s">
        <v>114</v>
      </c>
      <c r="C384" s="28" t="s">
        <v>202</v>
      </c>
      <c r="D384" s="44">
        <f>3000*120</f>
        <v>360000</v>
      </c>
      <c r="E384" s="59"/>
    </row>
    <row r="385" spans="1:5" s="3" customFormat="1" x14ac:dyDescent="0.25">
      <c r="A385" s="47"/>
      <c r="B385" s="37" t="s">
        <v>394</v>
      </c>
      <c r="C385" s="28" t="s">
        <v>398</v>
      </c>
      <c r="D385" s="44">
        <f>900*120</f>
        <v>108000</v>
      </c>
      <c r="E385" s="59"/>
    </row>
    <row r="386" spans="1:5" s="3" customFormat="1" x14ac:dyDescent="0.25">
      <c r="A386" s="47"/>
      <c r="B386" s="37" t="s">
        <v>24</v>
      </c>
      <c r="C386" s="28" t="s">
        <v>202</v>
      </c>
      <c r="D386" s="44">
        <f>3000*120</f>
        <v>360000</v>
      </c>
      <c r="E386" s="59"/>
    </row>
    <row r="387" spans="1:5" s="3" customFormat="1" x14ac:dyDescent="0.25">
      <c r="A387" s="92"/>
      <c r="B387" s="65" t="s">
        <v>0</v>
      </c>
      <c r="C387" s="65"/>
      <c r="D387" s="54"/>
      <c r="E387" s="54">
        <f>SUM(D380:D386)</f>
        <v>1860000</v>
      </c>
    </row>
    <row r="388" spans="1:5" s="3" customFormat="1" x14ac:dyDescent="0.25">
      <c r="A388" s="92"/>
      <c r="B388" s="51"/>
      <c r="C388" s="62"/>
      <c r="D388" s="59"/>
      <c r="E388" s="52"/>
    </row>
    <row r="389" spans="1:5" s="3" customFormat="1" x14ac:dyDescent="0.25">
      <c r="A389" s="92" t="s">
        <v>324</v>
      </c>
      <c r="B389" s="105" t="s">
        <v>419</v>
      </c>
      <c r="C389" s="46"/>
      <c r="D389" s="44"/>
      <c r="E389" s="59"/>
    </row>
    <row r="390" spans="1:5" s="3" customFormat="1" x14ac:dyDescent="0.25">
      <c r="A390" s="92"/>
      <c r="B390" s="46" t="s">
        <v>238</v>
      </c>
      <c r="C390" s="46"/>
      <c r="D390" s="44"/>
      <c r="E390" s="59"/>
    </row>
    <row r="391" spans="1:5" s="3" customFormat="1" x14ac:dyDescent="0.25">
      <c r="A391" s="47"/>
      <c r="B391" s="37" t="s">
        <v>115</v>
      </c>
      <c r="C391" s="46" t="s">
        <v>202</v>
      </c>
      <c r="D391" s="44">
        <f>3000*120</f>
        <v>360000</v>
      </c>
      <c r="E391" s="59"/>
    </row>
    <row r="392" spans="1:5" s="3" customFormat="1" x14ac:dyDescent="0.25">
      <c r="A392" s="47"/>
      <c r="B392" s="37" t="s">
        <v>166</v>
      </c>
      <c r="C392" s="28" t="s">
        <v>398</v>
      </c>
      <c r="D392" s="44">
        <f>900*120</f>
        <v>108000</v>
      </c>
      <c r="E392" s="59"/>
    </row>
    <row r="393" spans="1:5" s="3" customFormat="1" x14ac:dyDescent="0.25">
      <c r="A393" s="47"/>
      <c r="B393" s="37" t="s">
        <v>167</v>
      </c>
      <c r="C393" s="28" t="s">
        <v>202</v>
      </c>
      <c r="D393" s="44">
        <f>3000*120</f>
        <v>360000</v>
      </c>
      <c r="E393" s="59"/>
    </row>
    <row r="394" spans="1:5" s="3" customFormat="1" x14ac:dyDescent="0.25">
      <c r="A394" s="47"/>
      <c r="B394" s="37" t="s">
        <v>418</v>
      </c>
      <c r="C394" s="28" t="s">
        <v>205</v>
      </c>
      <c r="D394" s="44">
        <f>1200*120</f>
        <v>144000</v>
      </c>
      <c r="E394" s="59"/>
    </row>
    <row r="395" spans="1:5" s="3" customFormat="1" x14ac:dyDescent="0.25">
      <c r="A395" s="47"/>
      <c r="B395" s="37" t="s">
        <v>34</v>
      </c>
      <c r="C395" s="28" t="s">
        <v>398</v>
      </c>
      <c r="D395" s="44">
        <f>900*120</f>
        <v>108000</v>
      </c>
      <c r="E395" s="59"/>
    </row>
    <row r="396" spans="1:5" s="3" customFormat="1" x14ac:dyDescent="0.25">
      <c r="A396" s="47"/>
      <c r="B396" s="37" t="s">
        <v>24</v>
      </c>
      <c r="C396" s="28" t="s">
        <v>202</v>
      </c>
      <c r="D396" s="44">
        <f>3000*120</f>
        <v>360000</v>
      </c>
      <c r="E396" s="59"/>
    </row>
    <row r="397" spans="1:5" s="3" customFormat="1" x14ac:dyDescent="0.25">
      <c r="A397" s="92"/>
      <c r="B397" s="65" t="s">
        <v>0</v>
      </c>
      <c r="C397" s="65"/>
      <c r="D397" s="54"/>
      <c r="E397" s="54">
        <f>SUM(D391:D396)</f>
        <v>1440000</v>
      </c>
    </row>
    <row r="398" spans="1:5" s="3" customFormat="1" x14ac:dyDescent="0.25">
      <c r="A398" s="92"/>
      <c r="B398" s="65"/>
      <c r="C398" s="65"/>
      <c r="D398" s="54"/>
      <c r="E398" s="54"/>
    </row>
    <row r="399" spans="1:5" s="3" customFormat="1" x14ac:dyDescent="0.25">
      <c r="A399" s="92" t="s">
        <v>325</v>
      </c>
      <c r="B399" s="147" t="s">
        <v>420</v>
      </c>
      <c r="C399" s="65"/>
      <c r="D399" s="54"/>
      <c r="E399" s="54"/>
    </row>
    <row r="400" spans="1:5" s="3" customFormat="1" x14ac:dyDescent="0.25">
      <c r="A400" s="92"/>
      <c r="B400" s="46" t="s">
        <v>408</v>
      </c>
      <c r="C400" s="46"/>
      <c r="D400" s="44"/>
      <c r="E400" s="59"/>
    </row>
    <row r="401" spans="1:5" s="3" customFormat="1" x14ac:dyDescent="0.25">
      <c r="A401" s="47"/>
      <c r="B401" s="37" t="s">
        <v>115</v>
      </c>
      <c r="C401" s="46" t="s">
        <v>203</v>
      </c>
      <c r="D401" s="44">
        <f>2000*120</f>
        <v>240000</v>
      </c>
      <c r="E401" s="59"/>
    </row>
    <row r="402" spans="1:5" s="3" customFormat="1" x14ac:dyDescent="0.25">
      <c r="A402" s="47"/>
      <c r="B402" s="37" t="s">
        <v>166</v>
      </c>
      <c r="C402" s="28" t="s">
        <v>204</v>
      </c>
      <c r="D402" s="44">
        <f>1000*120</f>
        <v>120000</v>
      </c>
      <c r="E402" s="59"/>
    </row>
    <row r="403" spans="1:5" s="3" customFormat="1" x14ac:dyDescent="0.25">
      <c r="A403" s="47"/>
      <c r="B403" s="37" t="s">
        <v>167</v>
      </c>
      <c r="C403" s="28" t="s">
        <v>200</v>
      </c>
      <c r="D403" s="44">
        <f>2500*120</f>
        <v>300000</v>
      </c>
      <c r="E403" s="59"/>
    </row>
    <row r="404" spans="1:5" s="3" customFormat="1" x14ac:dyDescent="0.25">
      <c r="A404" s="47"/>
      <c r="B404" s="37" t="s">
        <v>34</v>
      </c>
      <c r="C404" s="28" t="s">
        <v>489</v>
      </c>
      <c r="D404" s="44">
        <f>700*120</f>
        <v>84000</v>
      </c>
      <c r="E404" s="59"/>
    </row>
    <row r="405" spans="1:5" s="3" customFormat="1" x14ac:dyDescent="0.25">
      <c r="A405" s="47"/>
      <c r="B405" s="37" t="s">
        <v>24</v>
      </c>
      <c r="C405" s="28" t="s">
        <v>202</v>
      </c>
      <c r="D405" s="44">
        <f>3000*120-120000</f>
        <v>240000</v>
      </c>
      <c r="E405" s="59"/>
    </row>
    <row r="406" spans="1:5" s="3" customFormat="1" x14ac:dyDescent="0.25">
      <c r="A406" s="92"/>
      <c r="B406" s="65" t="s">
        <v>0</v>
      </c>
      <c r="C406" s="65"/>
      <c r="D406" s="54"/>
      <c r="E406" s="54">
        <f>SUM(D401:D405)</f>
        <v>984000</v>
      </c>
    </row>
    <row r="407" spans="1:5" s="3" customFormat="1" x14ac:dyDescent="0.25">
      <c r="A407" s="92"/>
      <c r="B407" s="65"/>
      <c r="C407" s="65"/>
      <c r="D407" s="54"/>
      <c r="E407" s="54"/>
    </row>
    <row r="408" spans="1:5" s="3" customFormat="1" x14ac:dyDescent="0.25">
      <c r="A408" s="92" t="s">
        <v>452</v>
      </c>
      <c r="B408" s="147" t="s">
        <v>399</v>
      </c>
      <c r="C408" s="65"/>
      <c r="D408" s="54"/>
      <c r="E408" s="54"/>
    </row>
    <row r="409" spans="1:5" s="3" customFormat="1" x14ac:dyDescent="0.25">
      <c r="A409" s="92"/>
      <c r="B409" s="46" t="s">
        <v>408</v>
      </c>
      <c r="C409" s="46"/>
      <c r="D409" s="44"/>
      <c r="E409" s="59"/>
    </row>
    <row r="410" spans="1:5" s="3" customFormat="1" x14ac:dyDescent="0.25">
      <c r="A410" s="47"/>
      <c r="B410" s="37" t="s">
        <v>115</v>
      </c>
      <c r="C410" s="46" t="s">
        <v>202</v>
      </c>
      <c r="D410" s="44">
        <f>3000*120</f>
        <v>360000</v>
      </c>
      <c r="E410" s="59"/>
    </row>
    <row r="411" spans="1:5" s="3" customFormat="1" x14ac:dyDescent="0.25">
      <c r="A411" s="47"/>
      <c r="B411" s="37" t="s">
        <v>166</v>
      </c>
      <c r="C411" s="28" t="s">
        <v>205</v>
      </c>
      <c r="D411" s="44">
        <f>1200*120</f>
        <v>144000</v>
      </c>
      <c r="E411" s="59"/>
    </row>
    <row r="412" spans="1:5" s="3" customFormat="1" x14ac:dyDescent="0.25">
      <c r="A412" s="47"/>
      <c r="B412" s="37" t="s">
        <v>167</v>
      </c>
      <c r="C412" s="28" t="s">
        <v>200</v>
      </c>
      <c r="D412" s="44">
        <f>2500*120</f>
        <v>300000</v>
      </c>
      <c r="E412" s="59"/>
    </row>
    <row r="413" spans="1:5" s="3" customFormat="1" x14ac:dyDescent="0.25">
      <c r="A413" s="47"/>
      <c r="B413" s="37" t="s">
        <v>233</v>
      </c>
      <c r="C413" s="28" t="s">
        <v>204</v>
      </c>
      <c r="D413" s="44">
        <f>1000*120</f>
        <v>120000</v>
      </c>
      <c r="E413" s="59"/>
    </row>
    <row r="414" spans="1:5" s="3" customFormat="1" x14ac:dyDescent="0.25">
      <c r="A414" s="47"/>
      <c r="B414" s="37" t="s">
        <v>24</v>
      </c>
      <c r="C414" s="28" t="s">
        <v>202</v>
      </c>
      <c r="D414" s="44">
        <f>3000*120</f>
        <v>360000</v>
      </c>
      <c r="E414" s="59"/>
    </row>
    <row r="415" spans="1:5" s="3" customFormat="1" x14ac:dyDescent="0.25">
      <c r="A415" s="92"/>
      <c r="B415" s="65" t="s">
        <v>0</v>
      </c>
      <c r="C415" s="65"/>
      <c r="D415" s="54"/>
      <c r="E415" s="54">
        <f>SUM(D410:D414)</f>
        <v>1284000</v>
      </c>
    </row>
    <row r="416" spans="1:5" s="3" customFormat="1" x14ac:dyDescent="0.25">
      <c r="A416" s="92"/>
      <c r="B416" s="148"/>
      <c r="C416" s="65"/>
      <c r="D416" s="54"/>
      <c r="E416" s="54"/>
    </row>
    <row r="417" spans="1:5" s="3" customFormat="1" x14ac:dyDescent="0.25">
      <c r="A417" s="92" t="s">
        <v>453</v>
      </c>
      <c r="B417" s="147" t="s">
        <v>409</v>
      </c>
      <c r="C417" s="65"/>
      <c r="D417" s="54"/>
      <c r="E417" s="54"/>
    </row>
    <row r="418" spans="1:5" s="3" customFormat="1" x14ac:dyDescent="0.25">
      <c r="A418" s="92"/>
      <c r="B418" s="46" t="s">
        <v>238</v>
      </c>
      <c r="C418" s="46"/>
      <c r="D418" s="44"/>
      <c r="E418" s="59"/>
    </row>
    <row r="419" spans="1:5" s="3" customFormat="1" x14ac:dyDescent="0.25">
      <c r="A419" s="47"/>
      <c r="B419" s="37" t="s">
        <v>115</v>
      </c>
      <c r="C419" s="46" t="s">
        <v>204</v>
      </c>
      <c r="D419" s="44">
        <f>1000*120</f>
        <v>120000</v>
      </c>
      <c r="E419" s="59"/>
    </row>
    <row r="420" spans="1:5" s="3" customFormat="1" x14ac:dyDescent="0.25">
      <c r="A420" s="47"/>
      <c r="B420" s="37" t="s">
        <v>400</v>
      </c>
      <c r="C420" s="28" t="s">
        <v>203</v>
      </c>
      <c r="D420" s="44">
        <f>2000*120</f>
        <v>240000</v>
      </c>
      <c r="E420" s="59"/>
    </row>
    <row r="421" spans="1:5" s="3" customFormat="1" x14ac:dyDescent="0.25">
      <c r="A421" s="47"/>
      <c r="B421" s="37" t="s">
        <v>166</v>
      </c>
      <c r="C421" s="28" t="s">
        <v>401</v>
      </c>
      <c r="D421" s="44">
        <f>850*120</f>
        <v>102000</v>
      </c>
      <c r="E421" s="59"/>
    </row>
    <row r="422" spans="1:5" s="3" customFormat="1" x14ac:dyDescent="0.25">
      <c r="A422" s="47"/>
      <c r="B422" s="37" t="s">
        <v>167</v>
      </c>
      <c r="C422" s="28" t="s">
        <v>200</v>
      </c>
      <c r="D422" s="44">
        <f>2500*120</f>
        <v>300000</v>
      </c>
      <c r="E422" s="59"/>
    </row>
    <row r="423" spans="1:5" s="3" customFormat="1" x14ac:dyDescent="0.25">
      <c r="A423" s="47"/>
      <c r="B423" s="37" t="s">
        <v>24</v>
      </c>
      <c r="C423" s="28" t="s">
        <v>235</v>
      </c>
      <c r="D423" s="44">
        <f>1500*120</f>
        <v>180000</v>
      </c>
      <c r="E423" s="59"/>
    </row>
    <row r="424" spans="1:5" s="3" customFormat="1" x14ac:dyDescent="0.25">
      <c r="A424" s="92"/>
      <c r="B424" s="65" t="s">
        <v>0</v>
      </c>
      <c r="C424" s="65"/>
      <c r="D424" s="54"/>
      <c r="E424" s="54">
        <f>SUM(D419:D423)</f>
        <v>942000</v>
      </c>
    </row>
    <row r="425" spans="1:5" s="3" customFormat="1" x14ac:dyDescent="0.25">
      <c r="A425" s="92"/>
      <c r="B425" s="148"/>
      <c r="C425" s="65"/>
      <c r="D425" s="54"/>
      <c r="E425" s="54"/>
    </row>
    <row r="426" spans="1:5" s="3" customFormat="1" x14ac:dyDescent="0.25">
      <c r="A426" s="105" t="s">
        <v>326</v>
      </c>
      <c r="B426" s="105" t="s">
        <v>464</v>
      </c>
      <c r="C426" s="46"/>
      <c r="D426" s="44"/>
      <c r="E426" s="59"/>
    </row>
    <row r="427" spans="1:5" s="3" customFormat="1" x14ac:dyDescent="0.25">
      <c r="A427" s="105"/>
      <c r="B427" s="37" t="s">
        <v>486</v>
      </c>
      <c r="C427" s="46"/>
      <c r="D427" s="44"/>
      <c r="E427" s="59"/>
    </row>
    <row r="428" spans="1:5" s="3" customFormat="1" x14ac:dyDescent="0.25">
      <c r="A428" s="37"/>
      <c r="B428" s="37" t="s">
        <v>95</v>
      </c>
      <c r="C428" s="46" t="s">
        <v>198</v>
      </c>
      <c r="D428" s="44">
        <f>4400*120</f>
        <v>528000</v>
      </c>
      <c r="E428" s="59"/>
    </row>
    <row r="429" spans="1:5" s="3" customFormat="1" x14ac:dyDescent="0.25">
      <c r="A429" s="37"/>
      <c r="B429" s="37" t="s">
        <v>23</v>
      </c>
      <c r="C429" s="46" t="s">
        <v>235</v>
      </c>
      <c r="D429" s="44">
        <f>1500*120</f>
        <v>180000</v>
      </c>
      <c r="E429" s="59"/>
    </row>
    <row r="430" spans="1:5" s="3" customFormat="1" x14ac:dyDescent="0.25">
      <c r="A430" s="37"/>
      <c r="B430" s="37" t="s">
        <v>113</v>
      </c>
      <c r="C430" s="46" t="s">
        <v>206</v>
      </c>
      <c r="D430" s="44">
        <f>1230*120</f>
        <v>147600</v>
      </c>
      <c r="E430" s="59"/>
    </row>
    <row r="431" spans="1:5" s="3" customFormat="1" x14ac:dyDescent="0.25">
      <c r="A431" s="37"/>
      <c r="B431" s="37" t="s">
        <v>114</v>
      </c>
      <c r="C431" s="46" t="s">
        <v>253</v>
      </c>
      <c r="D431" s="44">
        <f>1175*120</f>
        <v>141000</v>
      </c>
      <c r="E431" s="59"/>
    </row>
    <row r="432" spans="1:5" s="3" customFormat="1" ht="16.5" customHeight="1" x14ac:dyDescent="0.25">
      <c r="A432" s="37"/>
      <c r="B432" s="37" t="s">
        <v>24</v>
      </c>
      <c r="C432" s="46" t="s">
        <v>202</v>
      </c>
      <c r="D432" s="44">
        <f>3000*120</f>
        <v>360000</v>
      </c>
      <c r="E432" s="59"/>
    </row>
    <row r="433" spans="1:5" s="3" customFormat="1" x14ac:dyDescent="0.25">
      <c r="A433" s="105"/>
      <c r="B433" s="65" t="s">
        <v>0</v>
      </c>
      <c r="C433" s="65"/>
      <c r="D433" s="54"/>
      <c r="E433" s="54">
        <f>SUM(D428:D432)</f>
        <v>1356600</v>
      </c>
    </row>
    <row r="434" spans="1:5" s="3" customFormat="1" x14ac:dyDescent="0.25">
      <c r="A434" s="92"/>
      <c r="B434" s="65"/>
      <c r="C434" s="65"/>
      <c r="D434" s="54"/>
      <c r="E434" s="54"/>
    </row>
    <row r="435" spans="1:5" s="3" customFormat="1" x14ac:dyDescent="0.25">
      <c r="A435" s="105" t="s">
        <v>508</v>
      </c>
      <c r="B435" s="105" t="s">
        <v>485</v>
      </c>
      <c r="C435" s="46"/>
      <c r="D435" s="44"/>
      <c r="E435" s="59"/>
    </row>
    <row r="436" spans="1:5" s="3" customFormat="1" x14ac:dyDescent="0.25">
      <c r="A436" s="105"/>
      <c r="B436" s="37" t="s">
        <v>486</v>
      </c>
      <c r="C436" s="46"/>
      <c r="D436" s="44"/>
      <c r="E436" s="59"/>
    </row>
    <row r="437" spans="1:5" s="3" customFormat="1" x14ac:dyDescent="0.25">
      <c r="A437" s="37"/>
      <c r="B437" s="37" t="s">
        <v>115</v>
      </c>
      <c r="C437" s="46" t="s">
        <v>199</v>
      </c>
      <c r="D437" s="44">
        <f>3500*120</f>
        <v>420000</v>
      </c>
      <c r="E437" s="59"/>
    </row>
    <row r="438" spans="1:5" s="3" customFormat="1" x14ac:dyDescent="0.25">
      <c r="A438" s="47"/>
      <c r="B438" s="37" t="s">
        <v>34</v>
      </c>
      <c r="C438" s="28" t="s">
        <v>490</v>
      </c>
      <c r="D438" s="44">
        <f>300*120</f>
        <v>36000</v>
      </c>
      <c r="E438" s="59"/>
    </row>
    <row r="439" spans="1:5" s="3" customFormat="1" x14ac:dyDescent="0.25">
      <c r="A439" s="37"/>
      <c r="B439" s="37" t="s">
        <v>113</v>
      </c>
      <c r="C439" s="46" t="s">
        <v>489</v>
      </c>
      <c r="D439" s="44">
        <f>700*120</f>
        <v>84000</v>
      </c>
      <c r="E439" s="59"/>
    </row>
    <row r="440" spans="1:5" s="3" customFormat="1" x14ac:dyDescent="0.25">
      <c r="A440" s="47"/>
      <c r="B440" s="37" t="s">
        <v>233</v>
      </c>
      <c r="C440" s="28" t="s">
        <v>488</v>
      </c>
      <c r="D440" s="44">
        <f>600*120</f>
        <v>72000</v>
      </c>
      <c r="E440" s="59"/>
    </row>
    <row r="441" spans="1:5" s="3" customFormat="1" x14ac:dyDescent="0.25">
      <c r="A441" s="37"/>
      <c r="B441" s="37" t="s">
        <v>114</v>
      </c>
      <c r="C441" s="46" t="s">
        <v>235</v>
      </c>
      <c r="D441" s="44">
        <f>1500*120</f>
        <v>180000</v>
      </c>
      <c r="E441" s="59"/>
    </row>
    <row r="442" spans="1:5" s="3" customFormat="1" ht="16.5" customHeight="1" x14ac:dyDescent="0.25">
      <c r="A442" s="37"/>
      <c r="B442" s="37" t="s">
        <v>24</v>
      </c>
      <c r="C442" s="46" t="s">
        <v>200</v>
      </c>
      <c r="D442" s="44">
        <f>2500*120</f>
        <v>300000</v>
      </c>
      <c r="E442" s="59"/>
    </row>
    <row r="443" spans="1:5" s="3" customFormat="1" x14ac:dyDescent="0.25">
      <c r="A443" s="105"/>
      <c r="B443" s="65" t="s">
        <v>0</v>
      </c>
      <c r="C443" s="65"/>
      <c r="D443" s="54"/>
      <c r="E443" s="54">
        <f>SUM(D437:D442)</f>
        <v>1092000</v>
      </c>
    </row>
    <row r="444" spans="1:5" s="3" customFormat="1" x14ac:dyDescent="0.25">
      <c r="A444" s="92"/>
      <c r="B444" s="65"/>
      <c r="C444" s="65"/>
      <c r="D444" s="54"/>
      <c r="E444" s="54"/>
    </row>
    <row r="445" spans="1:5" s="3" customFormat="1" x14ac:dyDescent="0.25">
      <c r="A445" s="105" t="s">
        <v>454</v>
      </c>
      <c r="B445" s="105" t="s">
        <v>487</v>
      </c>
      <c r="C445" s="46"/>
      <c r="D445" s="44"/>
      <c r="E445" s="59"/>
    </row>
    <row r="446" spans="1:5" s="3" customFormat="1" x14ac:dyDescent="0.25">
      <c r="A446" s="105"/>
      <c r="B446" s="37" t="s">
        <v>486</v>
      </c>
      <c r="C446" s="46"/>
      <c r="D446" s="44"/>
      <c r="E446" s="59"/>
    </row>
    <row r="447" spans="1:5" s="3" customFormat="1" x14ac:dyDescent="0.25">
      <c r="A447" s="37"/>
      <c r="B447" s="37" t="s">
        <v>95</v>
      </c>
      <c r="C447" s="46" t="s">
        <v>200</v>
      </c>
      <c r="D447" s="44">
        <f>2500*120</f>
        <v>300000</v>
      </c>
      <c r="E447" s="59"/>
    </row>
    <row r="448" spans="1:5" s="3" customFormat="1" x14ac:dyDescent="0.25">
      <c r="A448" s="47"/>
      <c r="B448" s="37" t="s">
        <v>34</v>
      </c>
      <c r="C448" s="28" t="s">
        <v>194</v>
      </c>
      <c r="D448" s="44">
        <f>500*120</f>
        <v>60000</v>
      </c>
      <c r="E448" s="59"/>
    </row>
    <row r="449" spans="1:5" s="3" customFormat="1" x14ac:dyDescent="0.25">
      <c r="A449" s="37"/>
      <c r="B449" s="37" t="s">
        <v>113</v>
      </c>
      <c r="C449" s="46" t="s">
        <v>201</v>
      </c>
      <c r="D449" s="44">
        <f>800*120</f>
        <v>96000</v>
      </c>
      <c r="E449" s="59"/>
    </row>
    <row r="450" spans="1:5" s="3" customFormat="1" x14ac:dyDescent="0.25">
      <c r="A450" s="47"/>
      <c r="B450" s="37" t="s">
        <v>233</v>
      </c>
      <c r="C450" s="28" t="s">
        <v>201</v>
      </c>
      <c r="D450" s="44">
        <f>800*120</f>
        <v>96000</v>
      </c>
      <c r="E450" s="59"/>
    </row>
    <row r="451" spans="1:5" s="3" customFormat="1" x14ac:dyDescent="0.25">
      <c r="A451" s="37"/>
      <c r="B451" s="37" t="s">
        <v>114</v>
      </c>
      <c r="C451" s="46" t="s">
        <v>200</v>
      </c>
      <c r="D451" s="44">
        <f>2500*120</f>
        <v>300000</v>
      </c>
      <c r="E451" s="59"/>
    </row>
    <row r="452" spans="1:5" s="3" customFormat="1" ht="16.5" customHeight="1" x14ac:dyDescent="0.25">
      <c r="A452" s="37"/>
      <c r="B452" s="37" t="s">
        <v>24</v>
      </c>
      <c r="C452" s="46" t="s">
        <v>202</v>
      </c>
      <c r="D452" s="44">
        <f>3000*120</f>
        <v>360000</v>
      </c>
      <c r="E452" s="59"/>
    </row>
    <row r="453" spans="1:5" s="3" customFormat="1" x14ac:dyDescent="0.25">
      <c r="A453" s="105"/>
      <c r="B453" s="65" t="s">
        <v>0</v>
      </c>
      <c r="C453" s="65"/>
      <c r="D453" s="54"/>
      <c r="E453" s="54">
        <f>SUM(D447:D452)</f>
        <v>1212000</v>
      </c>
    </row>
    <row r="454" spans="1:5" s="3" customFormat="1" x14ac:dyDescent="0.25">
      <c r="A454" s="92"/>
      <c r="B454" s="65"/>
      <c r="C454" s="65"/>
      <c r="D454" s="54"/>
      <c r="E454" s="54"/>
    </row>
    <row r="455" spans="1:5" x14ac:dyDescent="0.25">
      <c r="A455" s="5" t="s">
        <v>491</v>
      </c>
      <c r="B455" s="5" t="s">
        <v>493</v>
      </c>
      <c r="D455" s="14"/>
    </row>
    <row r="456" spans="1:5" x14ac:dyDescent="0.25">
      <c r="A456" s="5"/>
      <c r="B456" s="7" t="s">
        <v>494</v>
      </c>
      <c r="D456" s="14"/>
    </row>
    <row r="457" spans="1:5" s="3" customFormat="1" ht="16.5" customHeight="1" x14ac:dyDescent="0.25">
      <c r="A457" s="37"/>
      <c r="B457" s="37" t="s">
        <v>24</v>
      </c>
      <c r="C457" s="46" t="s">
        <v>202</v>
      </c>
      <c r="D457" s="44">
        <f>3000*120</f>
        <v>360000</v>
      </c>
      <c r="E457" s="59"/>
    </row>
    <row r="458" spans="1:5" s="3" customFormat="1" x14ac:dyDescent="0.25">
      <c r="A458" s="105"/>
      <c r="B458" s="65" t="s">
        <v>0</v>
      </c>
      <c r="C458" s="65"/>
      <c r="D458" s="54"/>
      <c r="E458" s="54">
        <f>SUM(D457:D457)</f>
        <v>360000</v>
      </c>
    </row>
    <row r="459" spans="1:5" s="3" customFormat="1" x14ac:dyDescent="0.25">
      <c r="A459" s="92"/>
      <c r="B459" s="65"/>
      <c r="C459" s="65"/>
      <c r="D459" s="54"/>
      <c r="E459" s="54"/>
    </row>
    <row r="460" spans="1:5" s="3" customFormat="1" x14ac:dyDescent="0.25">
      <c r="A460" s="92" t="s">
        <v>492</v>
      </c>
      <c r="B460" s="147" t="s">
        <v>241</v>
      </c>
      <c r="C460" s="65"/>
      <c r="D460" s="44"/>
      <c r="E460" s="54"/>
    </row>
    <row r="461" spans="1:5" s="3" customFormat="1" ht="22.15" customHeight="1" x14ac:dyDescent="0.25">
      <c r="A461" s="47"/>
      <c r="B461" s="148" t="s">
        <v>239</v>
      </c>
      <c r="C461" s="148"/>
      <c r="D461" s="44">
        <f>600000+400000</f>
        <v>1000000</v>
      </c>
      <c r="E461" s="44"/>
    </row>
    <row r="462" spans="1:5" s="3" customFormat="1" x14ac:dyDescent="0.25">
      <c r="A462" s="92"/>
      <c r="B462" s="65" t="s">
        <v>0</v>
      </c>
      <c r="C462" s="65"/>
      <c r="D462" s="54"/>
      <c r="E462" s="54">
        <f>+D461</f>
        <v>1000000</v>
      </c>
    </row>
    <row r="463" spans="1:5" s="3" customFormat="1" x14ac:dyDescent="0.25">
      <c r="A463" s="92"/>
      <c r="B463" s="65"/>
      <c r="C463" s="65"/>
      <c r="D463" s="54"/>
      <c r="E463" s="54"/>
    </row>
    <row r="464" spans="1:5" s="3" customFormat="1" x14ac:dyDescent="0.25">
      <c r="A464" s="92" t="s">
        <v>495</v>
      </c>
      <c r="B464" s="105" t="s">
        <v>387</v>
      </c>
      <c r="C464" s="46"/>
      <c r="D464" s="44"/>
      <c r="E464" s="59"/>
    </row>
    <row r="465" spans="1:5" s="3" customFormat="1" x14ac:dyDescent="0.25">
      <c r="A465" s="47"/>
      <c r="B465" s="37" t="s">
        <v>36</v>
      </c>
      <c r="C465" s="46" t="s">
        <v>405</v>
      </c>
      <c r="D465" s="44">
        <v>100000</v>
      </c>
      <c r="E465" s="59"/>
    </row>
    <row r="466" spans="1:5" s="3" customFormat="1" x14ac:dyDescent="0.25">
      <c r="A466" s="37"/>
      <c r="B466" s="37" t="s">
        <v>406</v>
      </c>
      <c r="C466" s="46" t="s">
        <v>407</v>
      </c>
      <c r="D466" s="44">
        <v>200000</v>
      </c>
      <c r="E466" s="59"/>
    </row>
    <row r="467" spans="1:5" s="3" customFormat="1" x14ac:dyDescent="0.25">
      <c r="A467" s="47"/>
      <c r="B467" s="37" t="s">
        <v>404</v>
      </c>
      <c r="C467" s="46" t="s">
        <v>405</v>
      </c>
      <c r="D467" s="44">
        <v>100000</v>
      </c>
      <c r="E467" s="59"/>
    </row>
    <row r="468" spans="1:5" s="3" customFormat="1" x14ac:dyDescent="0.25">
      <c r="A468" s="47"/>
      <c r="B468" s="37" t="s">
        <v>37</v>
      </c>
      <c r="C468" s="28" t="s">
        <v>402</v>
      </c>
      <c r="D468" s="44">
        <v>250000</v>
      </c>
      <c r="E468" s="59"/>
    </row>
    <row r="469" spans="1:5" s="3" customFormat="1" x14ac:dyDescent="0.25">
      <c r="A469" s="47"/>
      <c r="B469" s="37" t="s">
        <v>240</v>
      </c>
      <c r="C469" s="28" t="s">
        <v>403</v>
      </c>
      <c r="D469" s="44">
        <v>150000</v>
      </c>
      <c r="E469" s="59"/>
    </row>
    <row r="470" spans="1:5" x14ac:dyDescent="0.25">
      <c r="B470" s="27" t="s">
        <v>0</v>
      </c>
      <c r="D470" s="14"/>
      <c r="E470" s="18">
        <f>SUM(D465:D469)</f>
        <v>800000</v>
      </c>
    </row>
    <row r="471" spans="1:5" s="58" customFormat="1" x14ac:dyDescent="0.25">
      <c r="A471" s="110"/>
      <c r="B471" s="238"/>
      <c r="C471" s="238"/>
      <c r="D471" s="238"/>
      <c r="E471" s="238"/>
    </row>
    <row r="472" spans="1:5" s="58" customFormat="1" x14ac:dyDescent="0.25">
      <c r="A472" s="113"/>
      <c r="B472" s="118"/>
      <c r="C472" s="119" t="s">
        <v>38</v>
      </c>
      <c r="D472" s="120"/>
      <c r="E472" s="121">
        <f>+E376+E387+E397+E406+E415+E424+E433+E443+E453+E458+E462+E470</f>
        <v>13866600</v>
      </c>
    </row>
    <row r="473" spans="1:5" s="58" customFormat="1" ht="18" customHeight="1" x14ac:dyDescent="0.25">
      <c r="A473" s="113"/>
      <c r="B473" s="118"/>
      <c r="C473" s="155" t="s">
        <v>92</v>
      </c>
      <c r="D473" s="137"/>
      <c r="E473" s="137">
        <f>E38+E217+E305+E472+E364</f>
        <v>1151226000</v>
      </c>
    </row>
    <row r="474" spans="1:5" s="58" customFormat="1" ht="15.4" customHeight="1" x14ac:dyDescent="0.25">
      <c r="A474" s="110"/>
      <c r="B474" s="237"/>
      <c r="C474" s="237"/>
      <c r="D474" s="237"/>
      <c r="E474" s="237"/>
    </row>
    <row r="475" spans="1:5" s="58" customFormat="1" x14ac:dyDescent="0.25">
      <c r="A475" s="113"/>
      <c r="B475" s="114" t="s">
        <v>39</v>
      </c>
      <c r="C475" s="115"/>
      <c r="D475" s="122"/>
      <c r="E475" s="122"/>
    </row>
    <row r="476" spans="1:5" s="58" customFormat="1" ht="30" customHeight="1" x14ac:dyDescent="0.25">
      <c r="A476" s="110"/>
      <c r="B476" s="123" t="s">
        <v>40</v>
      </c>
      <c r="C476" s="124" t="s">
        <v>41</v>
      </c>
      <c r="D476" s="125"/>
      <c r="E476" s="124" t="s">
        <v>42</v>
      </c>
    </row>
    <row r="477" spans="1:5" s="58" customFormat="1" x14ac:dyDescent="0.25">
      <c r="A477" s="113"/>
      <c r="B477" s="126"/>
      <c r="C477" s="126"/>
      <c r="D477" s="127"/>
      <c r="E477" s="122"/>
    </row>
    <row r="478" spans="1:5" s="58" customFormat="1" x14ac:dyDescent="0.25">
      <c r="A478" s="113"/>
      <c r="B478" s="128" t="s">
        <v>43</v>
      </c>
      <c r="C478" s="133">
        <f>+C479</f>
        <v>13500000</v>
      </c>
      <c r="D478" s="129"/>
      <c r="E478" s="130"/>
    </row>
    <row r="479" spans="1:5" s="58" customFormat="1" x14ac:dyDescent="0.25">
      <c r="A479" s="122">
        <v>4111</v>
      </c>
      <c r="B479" s="131" t="s">
        <v>410</v>
      </c>
      <c r="C479" s="164">
        <v>13500000</v>
      </c>
      <c r="D479" s="132"/>
      <c r="E479" s="117"/>
    </row>
    <row r="480" spans="1:5" s="58" customFormat="1" x14ac:dyDescent="0.25">
      <c r="A480" s="122"/>
      <c r="B480" s="128" t="s">
        <v>44</v>
      </c>
      <c r="C480" s="165">
        <f>+C481+C482</f>
        <v>2100000</v>
      </c>
      <c r="D480" s="133"/>
      <c r="E480" s="117"/>
    </row>
    <row r="481" spans="1:5" s="58" customFormat="1" x14ac:dyDescent="0.25">
      <c r="A481" s="122">
        <v>4121</v>
      </c>
      <c r="B481" s="134" t="s">
        <v>45</v>
      </c>
      <c r="C481" s="164">
        <v>1485000</v>
      </c>
      <c r="D481" s="132"/>
      <c r="E481" s="117"/>
    </row>
    <row r="482" spans="1:5" s="58" customFormat="1" x14ac:dyDescent="0.25">
      <c r="A482" s="122">
        <v>4122</v>
      </c>
      <c r="B482" s="134" t="s">
        <v>46</v>
      </c>
      <c r="C482" s="164">
        <v>615000</v>
      </c>
      <c r="D482" s="132"/>
      <c r="E482" s="117"/>
    </row>
    <row r="483" spans="1:5" s="58" customFormat="1" x14ac:dyDescent="0.25">
      <c r="A483" s="122"/>
      <c r="B483" s="135" t="s">
        <v>47</v>
      </c>
      <c r="C483" s="166">
        <f>+C484</f>
        <v>100000</v>
      </c>
      <c r="D483" s="132"/>
      <c r="E483" s="117"/>
    </row>
    <row r="484" spans="1:5" s="58" customFormat="1" x14ac:dyDescent="0.25">
      <c r="A484" s="122">
        <v>4144</v>
      </c>
      <c r="B484" s="136" t="s">
        <v>192</v>
      </c>
      <c r="C484" s="164">
        <v>100000</v>
      </c>
      <c r="D484" s="132"/>
      <c r="E484" s="117"/>
    </row>
    <row r="485" spans="1:5" s="58" customFormat="1" x14ac:dyDescent="0.25">
      <c r="A485" s="122"/>
      <c r="B485" s="167" t="s">
        <v>48</v>
      </c>
      <c r="C485" s="165">
        <f>+C486</f>
        <v>400000</v>
      </c>
      <c r="D485" s="133"/>
      <c r="E485" s="117"/>
    </row>
    <row r="486" spans="1:5" s="58" customFormat="1" x14ac:dyDescent="0.25">
      <c r="A486" s="122">
        <v>4151</v>
      </c>
      <c r="B486" s="134" t="s">
        <v>48</v>
      </c>
      <c r="C486" s="164">
        <v>400000</v>
      </c>
      <c r="D486" s="132"/>
      <c r="E486" s="117"/>
    </row>
    <row r="487" spans="1:5" s="58" customFormat="1" x14ac:dyDescent="0.25">
      <c r="A487" s="122"/>
      <c r="B487" s="128" t="s">
        <v>49</v>
      </c>
      <c r="C487" s="133">
        <f>+C488</f>
        <v>0</v>
      </c>
      <c r="D487" s="133"/>
      <c r="E487" s="117"/>
    </row>
    <row r="488" spans="1:5" s="58" customFormat="1" x14ac:dyDescent="0.25">
      <c r="A488" s="122">
        <v>4161</v>
      </c>
      <c r="B488" s="134" t="s">
        <v>50</v>
      </c>
      <c r="C488" s="132">
        <v>0</v>
      </c>
      <c r="D488" s="132"/>
      <c r="E488" s="117"/>
    </row>
    <row r="489" spans="1:5" s="58" customFormat="1" x14ac:dyDescent="0.25">
      <c r="A489" s="122"/>
      <c r="B489" s="128" t="s">
        <v>51</v>
      </c>
      <c r="C489" s="133">
        <f>+C490+C491+C492+C493+C494+C495+C496</f>
        <v>4500000</v>
      </c>
      <c r="D489" s="133"/>
      <c r="E489" s="117"/>
    </row>
    <row r="490" spans="1:5" s="58" customFormat="1" x14ac:dyDescent="0.25">
      <c r="A490" s="122">
        <v>4211</v>
      </c>
      <c r="B490" s="134" t="s">
        <v>52</v>
      </c>
      <c r="C490" s="164">
        <v>200000</v>
      </c>
      <c r="D490" s="132"/>
      <c r="E490" s="117"/>
    </row>
    <row r="491" spans="1:5" s="58" customFormat="1" x14ac:dyDescent="0.25">
      <c r="A491" s="122">
        <v>4212</v>
      </c>
      <c r="B491" s="136" t="s">
        <v>53</v>
      </c>
      <c r="C491" s="164">
        <v>800000</v>
      </c>
      <c r="D491" s="132"/>
      <c r="E491" s="117"/>
    </row>
    <row r="492" spans="1:5" s="58" customFormat="1" x14ac:dyDescent="0.25">
      <c r="A492" s="122">
        <v>4213</v>
      </c>
      <c r="B492" s="136" t="s">
        <v>54</v>
      </c>
      <c r="C492" s="164">
        <v>300000</v>
      </c>
      <c r="D492" s="132"/>
      <c r="E492" s="117"/>
    </row>
    <row r="493" spans="1:5" s="58" customFormat="1" x14ac:dyDescent="0.25">
      <c r="A493" s="122">
        <v>4214</v>
      </c>
      <c r="B493" s="136" t="s">
        <v>55</v>
      </c>
      <c r="C493" s="164">
        <v>500000</v>
      </c>
      <c r="D493" s="132"/>
      <c r="E493" s="117"/>
    </row>
    <row r="494" spans="1:5" s="58" customFormat="1" x14ac:dyDescent="0.25">
      <c r="A494" s="122">
        <v>4215</v>
      </c>
      <c r="B494" s="136" t="s">
        <v>56</v>
      </c>
      <c r="C494" s="164">
        <v>200000</v>
      </c>
      <c r="D494" s="132"/>
      <c r="E494" s="117"/>
    </row>
    <row r="495" spans="1:5" s="58" customFormat="1" x14ac:dyDescent="0.25">
      <c r="A495" s="122">
        <v>4216</v>
      </c>
      <c r="B495" s="136" t="s">
        <v>57</v>
      </c>
      <c r="C495" s="164">
        <v>2300000</v>
      </c>
      <c r="D495" s="132"/>
      <c r="E495" s="117"/>
    </row>
    <row r="496" spans="1:5" s="58" customFormat="1" x14ac:dyDescent="0.25">
      <c r="A496" s="122">
        <v>4219</v>
      </c>
      <c r="B496" s="136" t="s">
        <v>58</v>
      </c>
      <c r="C496" s="164">
        <v>200000</v>
      </c>
      <c r="D496" s="132"/>
      <c r="E496" s="117"/>
    </row>
    <row r="497" spans="1:5" s="58" customFormat="1" x14ac:dyDescent="0.25">
      <c r="A497" s="122"/>
      <c r="B497" s="128" t="s">
        <v>59</v>
      </c>
      <c r="C497" s="168">
        <f>+C498+C499+C500+C501</f>
        <v>6000000</v>
      </c>
      <c r="D497" s="133"/>
      <c r="E497" s="117"/>
    </row>
    <row r="498" spans="1:5" s="58" customFormat="1" x14ac:dyDescent="0.25">
      <c r="A498" s="122">
        <v>4221</v>
      </c>
      <c r="B498" s="134" t="s">
        <v>60</v>
      </c>
      <c r="C498" s="164">
        <v>2000000</v>
      </c>
      <c r="D498" s="132"/>
      <c r="E498" s="117"/>
    </row>
    <row r="499" spans="1:5" s="58" customFormat="1" x14ac:dyDescent="0.25">
      <c r="A499" s="122">
        <v>4222</v>
      </c>
      <c r="B499" s="134" t="s">
        <v>61</v>
      </c>
      <c r="C499" s="164">
        <v>3200000</v>
      </c>
      <c r="D499" s="132"/>
      <c r="E499" s="117"/>
    </row>
    <row r="500" spans="1:5" s="58" customFormat="1" x14ac:dyDescent="0.25">
      <c r="A500" s="122">
        <v>4223</v>
      </c>
      <c r="B500" s="134" t="s">
        <v>62</v>
      </c>
      <c r="C500" s="164">
        <v>600000</v>
      </c>
      <c r="D500" s="132"/>
      <c r="E500" s="117"/>
    </row>
    <row r="501" spans="1:5" s="58" customFormat="1" x14ac:dyDescent="0.25">
      <c r="A501" s="122">
        <v>4229</v>
      </c>
      <c r="B501" s="134" t="s">
        <v>63</v>
      </c>
      <c r="C501" s="164">
        <v>200000</v>
      </c>
      <c r="D501" s="132"/>
      <c r="E501" s="117"/>
    </row>
    <row r="502" spans="1:5" s="58" customFormat="1" x14ac:dyDescent="0.25">
      <c r="A502" s="122"/>
      <c r="B502" s="128" t="s">
        <v>64</v>
      </c>
      <c r="C502" s="133">
        <f>+C503+C504+C505+C506+C507+C508+C509</f>
        <v>30000000</v>
      </c>
      <c r="D502" s="133"/>
      <c r="E502" s="117"/>
    </row>
    <row r="503" spans="1:5" s="58" customFormat="1" x14ac:dyDescent="0.25">
      <c r="A503" s="122">
        <v>4231</v>
      </c>
      <c r="B503" s="136" t="s">
        <v>65</v>
      </c>
      <c r="C503" s="164">
        <v>2000000</v>
      </c>
      <c r="D503" s="132"/>
      <c r="E503" s="117"/>
    </row>
    <row r="504" spans="1:5" s="58" customFormat="1" x14ac:dyDescent="0.25">
      <c r="A504" s="122">
        <v>4232</v>
      </c>
      <c r="B504" s="136" t="s">
        <v>66</v>
      </c>
      <c r="C504" s="164">
        <v>2000000</v>
      </c>
      <c r="D504" s="132"/>
      <c r="E504" s="117"/>
    </row>
    <row r="505" spans="1:5" s="58" customFormat="1" x14ac:dyDescent="0.25">
      <c r="A505" s="122">
        <v>4233</v>
      </c>
      <c r="B505" s="134" t="s">
        <v>67</v>
      </c>
      <c r="C505" s="164">
        <v>500000</v>
      </c>
      <c r="D505" s="132"/>
      <c r="E505" s="117"/>
    </row>
    <row r="506" spans="1:5" s="58" customFormat="1" x14ac:dyDescent="0.25">
      <c r="A506" s="122">
        <v>4234</v>
      </c>
      <c r="B506" s="136" t="s">
        <v>68</v>
      </c>
      <c r="C506" s="164">
        <f>3000000</f>
        <v>3000000</v>
      </c>
      <c r="D506" s="132"/>
      <c r="E506" s="117"/>
    </row>
    <row r="507" spans="1:5" s="58" customFormat="1" x14ac:dyDescent="0.25">
      <c r="A507" s="169">
        <v>4235</v>
      </c>
      <c r="B507" s="170" t="s">
        <v>69</v>
      </c>
      <c r="C507" s="164">
        <v>11000000</v>
      </c>
      <c r="D507" s="132"/>
      <c r="E507" s="117"/>
    </row>
    <row r="508" spans="1:5" s="58" customFormat="1" x14ac:dyDescent="0.25">
      <c r="A508" s="122">
        <v>4236</v>
      </c>
      <c r="B508" s="136" t="s">
        <v>70</v>
      </c>
      <c r="C508" s="164">
        <v>3000000</v>
      </c>
      <c r="D508" s="132"/>
      <c r="E508" s="117"/>
    </row>
    <row r="509" spans="1:5" s="58" customFormat="1" x14ac:dyDescent="0.25">
      <c r="A509" s="169">
        <v>4239</v>
      </c>
      <c r="B509" s="170" t="s">
        <v>71</v>
      </c>
      <c r="C509" s="164">
        <v>8500000</v>
      </c>
      <c r="D509" s="132"/>
      <c r="E509" s="117"/>
    </row>
    <row r="510" spans="1:5" s="58" customFormat="1" x14ac:dyDescent="0.25">
      <c r="A510" s="122"/>
      <c r="B510" s="128" t="s">
        <v>72</v>
      </c>
      <c r="C510" s="165">
        <f>+C511</f>
        <v>0</v>
      </c>
      <c r="D510" s="133"/>
      <c r="E510" s="117"/>
    </row>
    <row r="511" spans="1:5" s="58" customFormat="1" x14ac:dyDescent="0.25">
      <c r="A511" s="122">
        <v>4242</v>
      </c>
      <c r="B511" s="134" t="s">
        <v>73</v>
      </c>
      <c r="C511" s="164">
        <v>0</v>
      </c>
      <c r="D511" s="132"/>
      <c r="E511" s="137"/>
    </row>
    <row r="512" spans="1:5" s="58" customFormat="1" x14ac:dyDescent="0.25">
      <c r="A512" s="122"/>
      <c r="B512" s="128" t="s">
        <v>74</v>
      </c>
      <c r="C512" s="171">
        <f>+C513+C514</f>
        <v>1000000</v>
      </c>
      <c r="D512" s="133"/>
      <c r="E512" s="117"/>
    </row>
    <row r="513" spans="1:5" s="58" customFormat="1" x14ac:dyDescent="0.25">
      <c r="A513" s="122">
        <v>4251</v>
      </c>
      <c r="B513" s="134" t="s">
        <v>75</v>
      </c>
      <c r="C513" s="164">
        <v>400000</v>
      </c>
      <c r="D513" s="132"/>
      <c r="E513" s="117"/>
    </row>
    <row r="514" spans="1:5" s="58" customFormat="1" x14ac:dyDescent="0.25">
      <c r="A514" s="122">
        <v>4252</v>
      </c>
      <c r="B514" s="134" t="s">
        <v>76</v>
      </c>
      <c r="C514" s="164">
        <v>600000</v>
      </c>
      <c r="D514" s="132"/>
      <c r="E514" s="117"/>
    </row>
    <row r="515" spans="1:5" s="58" customFormat="1" x14ac:dyDescent="0.25">
      <c r="A515" s="122"/>
      <c r="B515" s="128" t="s">
        <v>77</v>
      </c>
      <c r="C515" s="165">
        <f>+C516+C517+C518+C519+C520</f>
        <v>1630000</v>
      </c>
      <c r="D515" s="133"/>
      <c r="E515" s="117"/>
    </row>
    <row r="516" spans="1:5" s="58" customFormat="1" x14ac:dyDescent="0.25">
      <c r="A516" s="122">
        <v>4261</v>
      </c>
      <c r="B516" s="136" t="s">
        <v>78</v>
      </c>
      <c r="C516" s="164">
        <v>700000</v>
      </c>
      <c r="D516" s="132"/>
      <c r="E516" s="117"/>
    </row>
    <row r="517" spans="1:5" s="58" customFormat="1" x14ac:dyDescent="0.25">
      <c r="A517" s="122">
        <v>4263</v>
      </c>
      <c r="B517" s="134" t="s">
        <v>79</v>
      </c>
      <c r="C517" s="164">
        <v>330000</v>
      </c>
      <c r="D517" s="132"/>
      <c r="E517" s="117"/>
    </row>
    <row r="518" spans="1:5" s="58" customFormat="1" x14ac:dyDescent="0.25">
      <c r="A518" s="122">
        <v>4264</v>
      </c>
      <c r="B518" s="134" t="s">
        <v>189</v>
      </c>
      <c r="C518" s="164">
        <v>100000</v>
      </c>
      <c r="D518" s="132"/>
      <c r="E518" s="117"/>
    </row>
    <row r="519" spans="1:5" s="58" customFormat="1" x14ac:dyDescent="0.25">
      <c r="A519" s="122">
        <v>4266</v>
      </c>
      <c r="B519" s="134" t="s">
        <v>80</v>
      </c>
      <c r="C519" s="164">
        <v>0</v>
      </c>
      <c r="D519" s="132"/>
      <c r="E519" s="117"/>
    </row>
    <row r="520" spans="1:5" s="58" customFormat="1" x14ac:dyDescent="0.25">
      <c r="A520" s="122">
        <v>4268</v>
      </c>
      <c r="B520" s="134" t="s">
        <v>81</v>
      </c>
      <c r="C520" s="164">
        <v>500000</v>
      </c>
      <c r="D520" s="132"/>
      <c r="E520" s="117"/>
    </row>
    <row r="521" spans="1:5" s="58" customFormat="1" x14ac:dyDescent="0.25">
      <c r="A521" s="122"/>
      <c r="B521" s="138" t="s">
        <v>82</v>
      </c>
      <c r="C521" s="166">
        <f>+C522</f>
        <v>100000</v>
      </c>
      <c r="D521" s="132"/>
      <c r="E521" s="117"/>
    </row>
    <row r="522" spans="1:5" s="58" customFormat="1" x14ac:dyDescent="0.25">
      <c r="A522" s="122">
        <v>4822</v>
      </c>
      <c r="B522" s="134" t="s">
        <v>83</v>
      </c>
      <c r="C522" s="164">
        <v>100000</v>
      </c>
      <c r="D522" s="132"/>
      <c r="E522" s="117"/>
    </row>
    <row r="523" spans="1:5" s="58" customFormat="1" x14ac:dyDescent="0.25">
      <c r="A523" s="122"/>
      <c r="B523" s="172" t="s">
        <v>478</v>
      </c>
      <c r="C523" s="164"/>
      <c r="D523" s="132"/>
      <c r="E523" s="174">
        <f>+E524</f>
        <v>12000000</v>
      </c>
    </row>
    <row r="524" spans="1:5" s="58" customFormat="1" x14ac:dyDescent="0.25">
      <c r="A524" s="122">
        <v>5113</v>
      </c>
      <c r="B524" s="173" t="s">
        <v>190</v>
      </c>
      <c r="C524" s="164"/>
      <c r="D524" s="132"/>
      <c r="E524" s="117">
        <v>12000000</v>
      </c>
    </row>
    <row r="525" spans="1:5" s="58" customFormat="1" x14ac:dyDescent="0.25">
      <c r="A525" s="122"/>
      <c r="B525" s="138" t="s">
        <v>84</v>
      </c>
      <c r="C525" s="132"/>
      <c r="D525" s="132"/>
      <c r="E525" s="174">
        <f>+E526+E527</f>
        <v>3800000</v>
      </c>
    </row>
    <row r="526" spans="1:5" s="58" customFormat="1" ht="24" customHeight="1" x14ac:dyDescent="0.25">
      <c r="A526" s="122">
        <v>5121</v>
      </c>
      <c r="B526" s="134" t="s">
        <v>479</v>
      </c>
      <c r="C526" s="132"/>
      <c r="D526" s="132"/>
      <c r="E526" s="175">
        <v>2000000</v>
      </c>
    </row>
    <row r="527" spans="1:5" s="58" customFormat="1" x14ac:dyDescent="0.25">
      <c r="A527" s="122">
        <v>5126</v>
      </c>
      <c r="B527" s="134" t="s">
        <v>480</v>
      </c>
      <c r="C527" s="132"/>
      <c r="D527" s="132"/>
      <c r="E527" s="74">
        <v>1800000</v>
      </c>
    </row>
    <row r="528" spans="1:5" x14ac:dyDescent="0.25">
      <c r="A528" s="93"/>
      <c r="B528" s="70"/>
      <c r="C528" s="71"/>
      <c r="D528" s="71"/>
      <c r="E528" s="77"/>
    </row>
    <row r="529" spans="1:5" x14ac:dyDescent="0.25">
      <c r="B529" s="17" t="s">
        <v>91</v>
      </c>
      <c r="C529" s="156">
        <f>+C478+C480+C483+C485+C489+C497+C502+C510+C512+C515+C521</f>
        <v>59330000</v>
      </c>
      <c r="D529" s="156"/>
      <c r="E529" s="156">
        <f>+E523+E525</f>
        <v>15800000</v>
      </c>
    </row>
    <row r="530" spans="1:5" x14ac:dyDescent="0.25">
      <c r="B530" s="17"/>
      <c r="C530" s="156"/>
      <c r="D530" s="74"/>
      <c r="E530" s="156"/>
    </row>
    <row r="531" spans="1:5" x14ac:dyDescent="0.25">
      <c r="B531" s="5" t="s">
        <v>254</v>
      </c>
      <c r="C531" s="6"/>
      <c r="D531" s="72"/>
    </row>
    <row r="532" spans="1:5" ht="18" customHeight="1" x14ac:dyDescent="0.25">
      <c r="C532" s="6"/>
      <c r="D532" s="74"/>
    </row>
    <row r="533" spans="1:5" x14ac:dyDescent="0.25">
      <c r="B533" s="9" t="s">
        <v>85</v>
      </c>
      <c r="C533" s="10">
        <f>+E38</f>
        <v>1026000000</v>
      </c>
      <c r="D533" s="74"/>
    </row>
    <row r="534" spans="1:5" x14ac:dyDescent="0.25">
      <c r="B534" s="9" t="s">
        <v>90</v>
      </c>
      <c r="C534" s="10">
        <f>+E217</f>
        <v>72957400</v>
      </c>
      <c r="D534" s="74"/>
    </row>
    <row r="535" spans="1:5" x14ac:dyDescent="0.25">
      <c r="B535" s="9" t="s">
        <v>162</v>
      </c>
      <c r="C535" s="10">
        <f>+E305</f>
        <v>34820000</v>
      </c>
      <c r="D535" s="74"/>
    </row>
    <row r="536" spans="1:5" x14ac:dyDescent="0.25">
      <c r="B536" s="9" t="s">
        <v>421</v>
      </c>
      <c r="C536" s="10">
        <f>+E364</f>
        <v>3582000</v>
      </c>
      <c r="D536" s="74"/>
    </row>
    <row r="537" spans="1:5" x14ac:dyDescent="0.25">
      <c r="B537" s="9" t="s">
        <v>86</v>
      </c>
      <c r="C537" s="10">
        <f>+E472</f>
        <v>13866600</v>
      </c>
      <c r="D537" s="74"/>
    </row>
    <row r="538" spans="1:5" x14ac:dyDescent="0.25">
      <c r="B538" s="9" t="s">
        <v>87</v>
      </c>
      <c r="C538" s="10">
        <f>C529</f>
        <v>59330000</v>
      </c>
      <c r="D538" s="74"/>
    </row>
    <row r="539" spans="1:5" x14ac:dyDescent="0.25">
      <c r="B539" s="9" t="s">
        <v>88</v>
      </c>
      <c r="C539" s="10">
        <f>SUM(E529)</f>
        <v>15800000</v>
      </c>
      <c r="D539" s="74"/>
    </row>
    <row r="540" spans="1:5" x14ac:dyDescent="0.25">
      <c r="A540" s="93"/>
      <c r="B540" s="11"/>
      <c r="C540" s="12"/>
      <c r="D540" s="77"/>
      <c r="E540" s="77"/>
    </row>
    <row r="541" spans="1:5" x14ac:dyDescent="0.25">
      <c r="B541" s="17" t="s">
        <v>100</v>
      </c>
      <c r="C541" s="10">
        <f>SUM(C533:C539)</f>
        <v>1226356000</v>
      </c>
      <c r="D541" s="83" t="s">
        <v>101</v>
      </c>
      <c r="E541" s="79"/>
    </row>
    <row r="542" spans="1:5" x14ac:dyDescent="0.25">
      <c r="D542" s="74"/>
    </row>
    <row r="543" spans="1:5" x14ac:dyDescent="0.25">
      <c r="D543" s="74"/>
    </row>
    <row r="544" spans="1:5" x14ac:dyDescent="0.25">
      <c r="D544" s="74"/>
    </row>
    <row r="545" spans="2:5" x14ac:dyDescent="0.25">
      <c r="B545" s="7" t="s">
        <v>515</v>
      </c>
      <c r="C545" s="41" t="s">
        <v>514</v>
      </c>
      <c r="D545" s="74"/>
    </row>
    <row r="546" spans="2:5" ht="34.5" customHeight="1" x14ac:dyDescent="0.25">
      <c r="C546" s="41" t="s">
        <v>516</v>
      </c>
      <c r="D546" s="74"/>
    </row>
    <row r="547" spans="2:5" x14ac:dyDescent="0.25">
      <c r="E547" s="189"/>
    </row>
    <row r="548" spans="2:5" x14ac:dyDescent="0.25">
      <c r="E548" s="187"/>
    </row>
    <row r="549" spans="2:5" x14ac:dyDescent="0.25">
      <c r="E549" s="189"/>
    </row>
    <row r="550" spans="2:5" x14ac:dyDescent="0.25">
      <c r="E550" s="188"/>
    </row>
    <row r="551" spans="2:5" x14ac:dyDescent="0.25">
      <c r="E551" s="189"/>
    </row>
    <row r="552" spans="2:5" x14ac:dyDescent="0.25">
      <c r="E552" s="188"/>
    </row>
    <row r="553" spans="2:5" x14ac:dyDescent="0.25">
      <c r="E553" s="188"/>
    </row>
    <row r="554" spans="2:5" x14ac:dyDescent="0.25">
      <c r="E554" s="188"/>
    </row>
    <row r="555" spans="2:5" x14ac:dyDescent="0.25">
      <c r="E555" s="190"/>
    </row>
    <row r="556" spans="2:5" x14ac:dyDescent="0.25">
      <c r="E556" s="191"/>
    </row>
    <row r="557" spans="2:5" x14ac:dyDescent="0.25">
      <c r="E557" s="190"/>
    </row>
    <row r="558" spans="2:5" x14ac:dyDescent="0.25">
      <c r="E558" s="188"/>
    </row>
    <row r="559" spans="2:5" x14ac:dyDescent="0.25">
      <c r="E559" s="188"/>
    </row>
    <row r="560" spans="2:5" x14ac:dyDescent="0.25">
      <c r="E560" s="188"/>
    </row>
    <row r="561" spans="5:5" x14ac:dyDescent="0.25">
      <c r="E561" s="188"/>
    </row>
    <row r="562" spans="5:5" x14ac:dyDescent="0.25">
      <c r="E562" s="188"/>
    </row>
    <row r="563" spans="5:5" x14ac:dyDescent="0.25">
      <c r="E563" s="188"/>
    </row>
    <row r="564" spans="5:5" x14ac:dyDescent="0.25">
      <c r="E564" s="188"/>
    </row>
    <row r="565" spans="5:5" x14ac:dyDescent="0.25">
      <c r="E565" s="190"/>
    </row>
    <row r="566" spans="5:5" x14ac:dyDescent="0.25">
      <c r="E566" s="188"/>
    </row>
    <row r="567" spans="5:5" x14ac:dyDescent="0.25">
      <c r="E567" s="188"/>
    </row>
    <row r="568" spans="5:5" x14ac:dyDescent="0.25">
      <c r="E568" s="188"/>
    </row>
    <row r="569" spans="5:5" x14ac:dyDescent="0.25">
      <c r="E569" s="188"/>
    </row>
    <row r="570" spans="5:5" x14ac:dyDescent="0.25">
      <c r="E570" s="188"/>
    </row>
    <row r="571" spans="5:5" x14ac:dyDescent="0.25">
      <c r="E571" s="188"/>
    </row>
    <row r="572" spans="5:5" x14ac:dyDescent="0.25">
      <c r="E572" s="188"/>
    </row>
    <row r="573" spans="5:5" x14ac:dyDescent="0.25">
      <c r="E573" s="188"/>
    </row>
    <row r="574" spans="5:5" x14ac:dyDescent="0.25">
      <c r="E574" s="188"/>
    </row>
    <row r="575" spans="5:5" x14ac:dyDescent="0.25">
      <c r="E575" s="188"/>
    </row>
  </sheetData>
  <mergeCells count="67">
    <mergeCell ref="B256:E256"/>
    <mergeCell ref="A248:D248"/>
    <mergeCell ref="B235:E235"/>
    <mergeCell ref="B243:E243"/>
    <mergeCell ref="B237:E237"/>
    <mergeCell ref="B250:E250"/>
    <mergeCell ref="B474:E474"/>
    <mergeCell ref="B471:E471"/>
    <mergeCell ref="B271:E271"/>
    <mergeCell ref="B366:C366"/>
    <mergeCell ref="B276:E276"/>
    <mergeCell ref="B291:E291"/>
    <mergeCell ref="B286:E286"/>
    <mergeCell ref="B358:E358"/>
    <mergeCell ref="B307:E307"/>
    <mergeCell ref="B309:E309"/>
    <mergeCell ref="B317:E317"/>
    <mergeCell ref="B326:E326"/>
    <mergeCell ref="B336:E336"/>
    <mergeCell ref="B350:E350"/>
    <mergeCell ref="B296:E296"/>
    <mergeCell ref="B301:E301"/>
    <mergeCell ref="B367:C367"/>
    <mergeCell ref="B357:C357"/>
    <mergeCell ref="B343:E343"/>
    <mergeCell ref="B184:C184"/>
    <mergeCell ref="B185:E185"/>
    <mergeCell ref="B207:E207"/>
    <mergeCell ref="A254:D254"/>
    <mergeCell ref="A259:D259"/>
    <mergeCell ref="B227:C227"/>
    <mergeCell ref="B213:E213"/>
    <mergeCell ref="B261:E261"/>
    <mergeCell ref="B226:E226"/>
    <mergeCell ref="B232:E232"/>
    <mergeCell ref="B266:E266"/>
    <mergeCell ref="B221:E221"/>
    <mergeCell ref="B245:E245"/>
    <mergeCell ref="B42:E42"/>
    <mergeCell ref="B46:C46"/>
    <mergeCell ref="B162:E162"/>
    <mergeCell ref="B156:E156"/>
    <mergeCell ref="B65:D65"/>
    <mergeCell ref="B74:D74"/>
    <mergeCell ref="B47:E47"/>
    <mergeCell ref="B63:E63"/>
    <mergeCell ref="B76:C76"/>
    <mergeCell ref="B79:C79"/>
    <mergeCell ref="B101:E101"/>
    <mergeCell ref="B130:C130"/>
    <mergeCell ref="B140:E140"/>
    <mergeCell ref="B131:E131"/>
    <mergeCell ref="B116:E116"/>
    <mergeCell ref="B1:D1"/>
    <mergeCell ref="B2:D2"/>
    <mergeCell ref="B15:E15"/>
    <mergeCell ref="B35:C35"/>
    <mergeCell ref="B31:C31"/>
    <mergeCell ref="B176:E176"/>
    <mergeCell ref="B85:E85"/>
    <mergeCell ref="B197:E197"/>
    <mergeCell ref="B192:E192"/>
    <mergeCell ref="B206:C206"/>
    <mergeCell ref="B202:E202"/>
    <mergeCell ref="B170:E170"/>
    <mergeCell ref="B150:E150"/>
    <mergeCell ref="B157:E157"/>
  </mergeCells>
  <phoneticPr fontId="3" type="noConversion"/>
  <pageMargins left="0.2" right="0" top="0" bottom="0" header="0.3" footer="0.3"/>
  <pageSetup paperSize="9" scale="66" orientation="landscape"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9"/>
  <sheetViews>
    <sheetView workbookViewId="0">
      <selection activeCell="B29" sqref="B29"/>
    </sheetView>
  </sheetViews>
  <sheetFormatPr defaultColWidth="8.75" defaultRowHeight="15.75" x14ac:dyDescent="0.25"/>
  <cols>
    <col min="2" max="2" width="26.125" customWidth="1"/>
  </cols>
  <sheetData>
    <row r="1" spans="1:2" x14ac:dyDescent="0.25">
      <c r="A1" s="193"/>
      <c r="B1" s="193"/>
    </row>
    <row r="2" spans="1:2" x14ac:dyDescent="0.25">
      <c r="A2" s="194">
        <v>421411</v>
      </c>
      <c r="B2" s="195">
        <v>12000</v>
      </c>
    </row>
    <row r="3" spans="1:2" x14ac:dyDescent="0.25">
      <c r="A3" s="194">
        <v>421422</v>
      </c>
      <c r="B3" s="196">
        <v>122000</v>
      </c>
    </row>
    <row r="4" spans="1:2" x14ac:dyDescent="0.25">
      <c r="A4" s="194">
        <v>421522</v>
      </c>
      <c r="B4" s="196">
        <v>75000</v>
      </c>
    </row>
    <row r="5" spans="1:2" x14ac:dyDescent="0.25">
      <c r="A5" s="194">
        <v>421619</v>
      </c>
      <c r="B5" s="196">
        <v>4710000</v>
      </c>
    </row>
    <row r="6" spans="1:2" x14ac:dyDescent="0.25">
      <c r="A6" s="194">
        <v>421626</v>
      </c>
      <c r="B6" s="196">
        <v>2579000</v>
      </c>
    </row>
    <row r="7" spans="1:2" x14ac:dyDescent="0.25">
      <c r="A7" s="194">
        <v>422111</v>
      </c>
      <c r="B7" s="196">
        <v>65000</v>
      </c>
    </row>
    <row r="8" spans="1:2" x14ac:dyDescent="0.25">
      <c r="A8" s="194">
        <v>422121</v>
      </c>
      <c r="B8" s="196">
        <v>1022000</v>
      </c>
    </row>
    <row r="9" spans="1:2" x14ac:dyDescent="0.25">
      <c r="A9" s="194">
        <v>422131</v>
      </c>
      <c r="B9" s="196">
        <v>828000</v>
      </c>
    </row>
    <row r="10" spans="1:2" x14ac:dyDescent="0.25">
      <c r="A10" s="194">
        <v>422211</v>
      </c>
      <c r="B10" s="196">
        <v>901000</v>
      </c>
    </row>
    <row r="11" spans="1:2" x14ac:dyDescent="0.25">
      <c r="A11" s="194">
        <v>422221</v>
      </c>
      <c r="B11" s="196">
        <v>11155400</v>
      </c>
    </row>
    <row r="12" spans="1:2" x14ac:dyDescent="0.25">
      <c r="A12" s="194">
        <v>422231</v>
      </c>
      <c r="B12" s="196">
        <v>7668600</v>
      </c>
    </row>
    <row r="13" spans="1:2" x14ac:dyDescent="0.25">
      <c r="A13" s="194">
        <v>422299</v>
      </c>
      <c r="B13" s="196">
        <v>60000</v>
      </c>
    </row>
    <row r="14" spans="1:2" x14ac:dyDescent="0.25">
      <c r="A14" s="194">
        <v>422392</v>
      </c>
      <c r="B14" s="196">
        <v>200000</v>
      </c>
    </row>
    <row r="15" spans="1:2" x14ac:dyDescent="0.25">
      <c r="A15" s="194">
        <v>422911</v>
      </c>
      <c r="B15" s="196">
        <v>100000</v>
      </c>
    </row>
    <row r="16" spans="1:2" x14ac:dyDescent="0.25">
      <c r="A16" s="194">
        <v>423111</v>
      </c>
      <c r="B16" s="196">
        <v>696000</v>
      </c>
    </row>
    <row r="17" spans="1:2" x14ac:dyDescent="0.25">
      <c r="A17" s="194">
        <v>423191</v>
      </c>
      <c r="B17" s="196">
        <v>180000</v>
      </c>
    </row>
    <row r="18" spans="1:2" x14ac:dyDescent="0.25">
      <c r="A18" s="194">
        <v>423322</v>
      </c>
      <c r="B18" s="196">
        <v>1529400</v>
      </c>
    </row>
    <row r="19" spans="1:2" x14ac:dyDescent="0.25">
      <c r="A19" s="194">
        <v>423411</v>
      </c>
      <c r="B19" s="196">
        <v>60000</v>
      </c>
    </row>
    <row r="20" spans="1:2" x14ac:dyDescent="0.25">
      <c r="A20" s="194">
        <v>423413</v>
      </c>
      <c r="B20" s="196">
        <v>3240000</v>
      </c>
    </row>
    <row r="21" spans="1:2" x14ac:dyDescent="0.25">
      <c r="A21" s="194">
        <v>423422</v>
      </c>
      <c r="B21" s="196">
        <v>1332000</v>
      </c>
    </row>
    <row r="22" spans="1:2" x14ac:dyDescent="0.25">
      <c r="A22" s="194">
        <v>423432</v>
      </c>
      <c r="B22" s="196">
        <v>150000</v>
      </c>
    </row>
    <row r="23" spans="1:2" x14ac:dyDescent="0.25">
      <c r="A23" s="197">
        <v>423449</v>
      </c>
      <c r="B23" s="198">
        <v>48000</v>
      </c>
    </row>
    <row r="24" spans="1:2" x14ac:dyDescent="0.25">
      <c r="A24" s="194">
        <v>423599</v>
      </c>
      <c r="B24" s="196">
        <v>6089600</v>
      </c>
    </row>
    <row r="25" spans="1:2" x14ac:dyDescent="0.25">
      <c r="A25" s="194">
        <v>423711</v>
      </c>
      <c r="B25" s="196">
        <v>1815000</v>
      </c>
    </row>
    <row r="26" spans="1:2" x14ac:dyDescent="0.25">
      <c r="A26" s="194">
        <v>423911</v>
      </c>
      <c r="B26" s="196">
        <v>860000</v>
      </c>
    </row>
    <row r="27" spans="1:2" x14ac:dyDescent="0.25">
      <c r="A27" s="194">
        <v>424221</v>
      </c>
      <c r="B27" s="196">
        <v>1096558000</v>
      </c>
    </row>
    <row r="28" spans="1:2" x14ac:dyDescent="0.25">
      <c r="A28" s="194">
        <v>426621</v>
      </c>
      <c r="B28" s="196">
        <v>370000</v>
      </c>
    </row>
    <row r="29" spans="1:2" x14ac:dyDescent="0.25">
      <c r="A29" s="140"/>
      <c r="B29" s="140">
        <f>SUBTOTAL(9,B2:B28)</f>
        <v>1142426000</v>
      </c>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2</vt:i4>
      </vt:variant>
      <vt:variant>
        <vt:lpstr>Imenovani opsezi</vt:lpstr>
      </vt:variant>
      <vt:variant>
        <vt:i4>1</vt:i4>
      </vt:variant>
    </vt:vector>
  </HeadingPairs>
  <TitlesOfParts>
    <vt:vector size="3" baseType="lpstr">
      <vt:lpstr>фЦС ПЛАН 2023.</vt:lpstr>
      <vt:lpstr>Sheet1</vt:lpstr>
      <vt:lpstr>'фЦС ПЛАН 2023.'!Oblast_štampanja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2023-07-14T12:16:24Z</cp:lastPrinted>
  <dcterms:created xsi:type="dcterms:W3CDTF">2015-01-09T09:45:15Z</dcterms:created>
  <dcterms:modified xsi:type="dcterms:W3CDTF">2023-10-11T10:53:01Z</dcterms:modified>
</cp:coreProperties>
</file>