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showInkAnnotation="0" autoCompressPictures="0"/>
  <mc:AlternateContent xmlns:mc="http://schemas.openxmlformats.org/markup-compatibility/2006">
    <mc:Choice Requires="x15">
      <x15ac:absPath xmlns:x15ac="http://schemas.microsoft.com/office/spreadsheetml/2010/11/ac" url="C:\Users\Bojan\Desktop\FCS\"/>
    </mc:Choice>
  </mc:AlternateContent>
  <xr:revisionPtr revIDLastSave="0" documentId="13_ncr:1_{4BFB51E4-4BDA-4530-8589-6B7044E59213}" xr6:coauthVersionLast="47" xr6:coauthVersionMax="47" xr10:uidLastSave="{00000000-0000-0000-0000-000000000000}"/>
  <bookViews>
    <workbookView xWindow="-120" yWindow="-120" windowWidth="29040" windowHeight="15840" tabRatio="793" xr2:uid="{00000000-000D-0000-FFFF-FFFF00000000}"/>
  </bookViews>
  <sheets>
    <sheet name="фЦС ПЛАН 2024." sheetId="6" r:id="rId1"/>
  </sheets>
  <definedNames>
    <definedName name="_xlnm._FilterDatabase" localSheetId="0" hidden="1">'фЦС ПЛАН 2024.'!$A$1:$A$427</definedName>
    <definedName name="_ftn1" localSheetId="0">'фЦС ПЛАН 2024.'!#REF!</definedName>
    <definedName name="_ftnref1" localSheetId="0">'фЦС ПЛАН 2024.'!#REF!</definedName>
    <definedName name="_xlnm.Print_Area" localSheetId="0">'фЦС ПЛАН 2024.'!$A$1:$F$430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E422" i="6" l="1"/>
  <c r="E32" i="6"/>
  <c r="E364" i="6"/>
  <c r="E391" i="6"/>
  <c r="E396" i="6"/>
  <c r="E393" i="6"/>
  <c r="E383" i="6"/>
  <c r="E380" i="6"/>
  <c r="E378" i="6" s="1"/>
  <c r="E376" i="6"/>
  <c r="E370" i="6" s="1"/>
  <c r="E359" i="6"/>
  <c r="D65" i="6"/>
  <c r="E47" i="6"/>
  <c r="E45" i="6"/>
  <c r="E44" i="6"/>
  <c r="E211" i="6"/>
  <c r="F212" i="6" s="1"/>
  <c r="E46" i="6"/>
  <c r="E48" i="6"/>
  <c r="E216" i="6"/>
  <c r="F217" i="6" s="1"/>
  <c r="E221" i="6"/>
  <c r="F222" i="6" s="1"/>
  <c r="E30" i="6"/>
  <c r="E26" i="6"/>
  <c r="E18" i="6"/>
  <c r="E17" i="6"/>
  <c r="E19" i="6"/>
  <c r="E31" i="6"/>
  <c r="F40" i="6"/>
  <c r="F99" i="6"/>
  <c r="F155" i="6"/>
  <c r="F173" i="6"/>
  <c r="F179" i="6"/>
  <c r="F184" i="6"/>
  <c r="F196" i="6"/>
  <c r="F202" i="6"/>
  <c r="F207" i="6"/>
  <c r="F227" i="6"/>
  <c r="F260" i="6"/>
  <c r="F404" i="6"/>
  <c r="F406" i="6"/>
  <c r="E350" i="6"/>
  <c r="E349" i="6"/>
  <c r="E348" i="6"/>
  <c r="E347" i="6"/>
  <c r="E276" i="6"/>
  <c r="E277" i="6"/>
  <c r="E278" i="6"/>
  <c r="E279" i="6"/>
  <c r="E284" i="6"/>
  <c r="E285" i="6"/>
  <c r="E286" i="6"/>
  <c r="E287" i="6"/>
  <c r="E288" i="6"/>
  <c r="E289" i="6"/>
  <c r="E294" i="6"/>
  <c r="E295" i="6"/>
  <c r="E296" i="6"/>
  <c r="E297" i="6"/>
  <c r="E298" i="6"/>
  <c r="E299" i="6"/>
  <c r="E304" i="6"/>
  <c r="E305" i="6"/>
  <c r="E306" i="6"/>
  <c r="E307" i="6"/>
  <c r="E308" i="6"/>
  <c r="E313" i="6"/>
  <c r="E314" i="6"/>
  <c r="E315" i="6"/>
  <c r="E316" i="6"/>
  <c r="E317" i="6"/>
  <c r="E318" i="6"/>
  <c r="E323" i="6"/>
  <c r="E324" i="6"/>
  <c r="E325" i="6"/>
  <c r="E326" i="6"/>
  <c r="E327" i="6"/>
  <c r="E328" i="6"/>
  <c r="E329" i="6"/>
  <c r="E334" i="6"/>
  <c r="E335" i="6"/>
  <c r="E336" i="6"/>
  <c r="E337" i="6"/>
  <c r="E338" i="6"/>
  <c r="E339" i="6"/>
  <c r="E343" i="6"/>
  <c r="F344" i="6" s="1"/>
  <c r="E68" i="6"/>
  <c r="E69" i="6"/>
  <c r="E70" i="6"/>
  <c r="E71" i="6"/>
  <c r="E72" i="6"/>
  <c r="E73" i="6"/>
  <c r="E55" i="6"/>
  <c r="E56" i="6"/>
  <c r="E58" i="6"/>
  <c r="E59" i="6"/>
  <c r="E60" i="6"/>
  <c r="E78" i="6"/>
  <c r="E79" i="6"/>
  <c r="E82" i="6"/>
  <c r="E83" i="6"/>
  <c r="E84" i="6"/>
  <c r="E85" i="6"/>
  <c r="E86" i="6"/>
  <c r="E93" i="6"/>
  <c r="F94" i="6" s="1"/>
  <c r="E102" i="6"/>
  <c r="E103" i="6"/>
  <c r="E108" i="6"/>
  <c r="E109" i="6"/>
  <c r="E110" i="6"/>
  <c r="E111" i="6"/>
  <c r="E113" i="6"/>
  <c r="E118" i="6"/>
  <c r="E119" i="6"/>
  <c r="E120" i="6"/>
  <c r="E122" i="6"/>
  <c r="E127" i="6"/>
  <c r="E128" i="6"/>
  <c r="E129" i="6"/>
  <c r="E130" i="6"/>
  <c r="E139" i="6"/>
  <c r="F141" i="6" s="1"/>
  <c r="E145" i="6"/>
  <c r="E146" i="6"/>
  <c r="E148" i="6"/>
  <c r="E149" i="6"/>
  <c r="E159" i="6"/>
  <c r="F160" i="6" s="1"/>
  <c r="E164" i="6"/>
  <c r="F165" i="6" s="1"/>
  <c r="E190" i="6"/>
  <c r="F191" i="6" s="1"/>
  <c r="E235" i="6"/>
  <c r="E236" i="6"/>
  <c r="E237" i="6"/>
  <c r="E241" i="6"/>
  <c r="E242" i="6"/>
  <c r="E243" i="6"/>
  <c r="E248" i="6"/>
  <c r="E249" i="6"/>
  <c r="E250" i="6"/>
  <c r="E266" i="6"/>
  <c r="F268" i="6" s="1"/>
  <c r="F61" i="6" l="1"/>
  <c r="D410" i="6"/>
  <c r="F229" i="6"/>
  <c r="E410" i="6"/>
  <c r="F51" i="6"/>
  <c r="F114" i="6"/>
  <c r="F34" i="6"/>
  <c r="F244" i="6"/>
  <c r="F300" i="6"/>
  <c r="F290" i="6"/>
  <c r="F280" i="6"/>
  <c r="F351" i="6"/>
  <c r="F150" i="6"/>
  <c r="F340" i="6"/>
  <c r="F330" i="6"/>
  <c r="F319" i="6"/>
  <c r="F309" i="6"/>
  <c r="D67" i="6"/>
  <c r="F74" i="6" s="1"/>
  <c r="F89" i="6"/>
  <c r="F252" i="6"/>
  <c r="F238" i="6"/>
  <c r="F135" i="6"/>
  <c r="F123" i="6"/>
  <c r="F104" i="6"/>
  <c r="F410" i="6"/>
  <c r="D11" i="6" s="1"/>
  <c r="F167" i="6" l="1"/>
  <c r="D5" i="6"/>
  <c r="F353" i="6"/>
  <c r="F270" i="6"/>
  <c r="D7" i="6"/>
  <c r="D8" i="6" l="1"/>
  <c r="F354" i="6"/>
  <c r="D6" i="6"/>
  <c r="D13" i="6" l="1"/>
  <c r="E5" i="6" s="1"/>
  <c r="E11" i="6" l="1"/>
  <c r="E6" i="6"/>
  <c r="E9" i="6"/>
  <c r="E8" i="6"/>
  <c r="E7" i="6"/>
  <c r="E10" i="6"/>
  <c r="E13" i="6" l="1"/>
</calcChain>
</file>

<file path=xl/sharedStrings.xml><?xml version="1.0" encoding="utf-8"?>
<sst xmlns="http://schemas.openxmlformats.org/spreadsheetml/2006/main" count="525" uniqueCount="393">
  <si>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</si>
  <si>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</si>
  <si>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</si>
  <si>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</si>
  <si>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</si>
  <si>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</si>
  <si>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</si>
  <si>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</si>
  <si>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</si>
  <si>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</si>
  <si>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</si>
  <si>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</si>
  <si>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</si>
  <si>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</si>
  <si>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</si>
  <si>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</si>
  <si>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</si>
  <si>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</si>
  <si>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</si>
  <si>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</si>
  <si>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</si>
  <si>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</si>
  <si>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</si>
  <si>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</si>
  <si>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</si>
  <si>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</si>
  <si>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</si>
  <si>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</si>
  <si>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</si>
  <si>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</si>
  <si>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</si>
  <si>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</si>
  <si>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</si>
  <si>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</si>
  <si>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</si>
  <si>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</si>
  <si>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</si>
  <si>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</si>
  <si>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</si>
  <si>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</si>
  <si>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</si>
  <si>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</si>
  <si>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</si>
  <si>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</si>
  <si>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</si>
  <si>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</si>
  <si>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</si>
  <si>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</si>
  <si>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</si>
  <si>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</si>
  <si>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</si>
  <si>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</si>
  <si>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</si>
  <si>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</si>
  <si>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</si>
  <si>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</si>
  <si>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</si>
  <si>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</si>
  <si>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</si>
  <si>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</si>
  <si>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</si>
  <si>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</si>
  <si>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</si>
  <si>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</si>
  <si>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</si>
  <si>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</si>
  <si>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</si>
  <si>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</si>
  <si>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</si>
  <si>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</si>
  <si>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</si>
  <si>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</si>
  <si>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</si>
  <si>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</si>
  <si>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</si>
  <si>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</si>
  <si>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</si>
  <si>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</si>
  <si>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</si>
  <si>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</si>
  <si>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</si>
  <si>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</si>
  <si>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</si>
  <si>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</si>
  <si>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</si>
  <si>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</si>
  <si>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</si>
  <si>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</si>
  <si>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</si>
  <si>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</si>
  <si>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</si>
  <si>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</si>
  <si>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</si>
  <si>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</si>
  <si>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</si>
  <si>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</si>
  <si>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</si>
  <si>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</si>
  <si>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</si>
  <si>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</si>
  <si>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</si>
  <si>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</si>
  <si>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</si>
  <si>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</si>
  <si>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</si>
  <si>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</si>
  <si>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</si>
  <si>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</si>
  <si>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</si>
  <si>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</si>
  <si>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</si>
  <si>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</si>
  <si>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</si>
  <si>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</si>
  <si>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</si>
  <si>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</si>
  <si>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</si>
  <si>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</si>
  <si>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</si>
  <si>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</si>
  <si>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</si>
  <si>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</si>
  <si>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</si>
  <si>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</si>
  <si>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</si>
  <si>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</si>
  <si>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</si>
  <si>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</si>
  <si>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</si>
  <si>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</si>
  <si>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</si>
  <si>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</si>
  <si>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</si>
  <si>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</si>
  <si>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</si>
  <si>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</si>
  <si>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</si>
  <si>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</si>
  <si>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</si>
  <si>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</si>
  <si>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</si>
  <si>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</si>
  <si>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</si>
  <si>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</si>
  <si>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</si>
  <si>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</si>
  <si>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500 EUR.</t>
  </si>
  <si>
    <t>30.000 RSD.</t>
  </si>
  <si>
    <t>5.000 EUR.</t>
  </si>
  <si>
    <t>3500 EUR.</t>
  </si>
  <si>
    <t>2500 EUR.</t>
  </si>
  <si>
    <t>800 EUR.</t>
  </si>
  <si>
    <t>3000 EUR.</t>
  </si>
  <si>
    <t>2000 EUR.</t>
  </si>
  <si>
    <t>1000 EUR.</t>
  </si>
  <si>
    <t>1200 EUR.</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</si>
  <si>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</si>
  <si>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</si>
  <si>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</si>
  <si>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</si>
  <si>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</si>
  <si>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</si>
  <si>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</si>
  <si>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</si>
  <si>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</si>
  <si>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</si>
  <si>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</si>
  <si>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120.000 RSD.</t>
  </si>
  <si>
    <t>Награда ”Марко Глушац”</t>
  </si>
  <si>
    <t>3.10.</t>
  </si>
  <si>
    <t>4000 EUR.</t>
  </si>
  <si>
    <t>1500 EUR.</t>
  </si>
  <si>
    <t>Тираж: 500</t>
  </si>
  <si>
    <t>Подршка  (Филмски центар Србије ко-издавач)</t>
  </si>
  <si>
    <t>ФОНД ЗА ПОМОЋ ДРУГИМ ИЗДАВАЧИМА</t>
  </si>
  <si>
    <t>3.11.</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</si>
  <si>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</si>
  <si>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</si>
  <si>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</si>
  <si>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</si>
  <si>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ПРИКАЗ ПЛАНИРАНИХ РАСХОДА ФЦС У 2023.</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</si>
  <si>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</si>
  <si>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</si>
  <si>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</si>
  <si>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</si>
  <si>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</si>
  <si>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</si>
  <si>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</si>
  <si>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</si>
  <si>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</si>
  <si>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</si>
  <si>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</si>
  <si>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</si>
  <si>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Producers on the Move, април-мај 2023.</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</si>
  <si>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</si>
  <si>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</si>
  <si>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</si>
  <si>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</si>
  <si>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</si>
  <si>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</si>
  <si>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</si>
  <si>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</si>
  <si>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</si>
  <si>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</si>
  <si>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</si>
  <si>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</si>
  <si>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</si>
  <si>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</si>
  <si>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</si>
  <si>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</si>
  <si>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</si>
  <si>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</si>
  <si>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800  EUR.</t>
  </si>
  <si>
    <t>MEDIA</t>
  </si>
  <si>
    <t>Учешће у трошковима партнерства са ДокСрбија</t>
  </si>
  <si>
    <t>8.000 EUR</t>
  </si>
  <si>
    <t xml:space="preserve">5.5. </t>
  </si>
  <si>
    <t xml:space="preserve">5.6. </t>
  </si>
  <si>
    <t>5.9.</t>
  </si>
  <si>
    <t>30.000 RSD x 3 особе</t>
  </si>
  <si>
    <t>90 EUR x 3 дана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</si>
  <si>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</si>
  <si>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</si>
  <si>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</si>
  <si>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</si>
  <si>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600 EUR.</t>
  </si>
  <si>
    <t>700 EUR.</t>
  </si>
  <si>
    <t>300 EUR.</t>
  </si>
  <si>
    <t>15 EUR x 3 дана  x 3 особe</t>
  </si>
  <si>
    <t>Авио карте (Загреб, Љубљана, Трст - 2 авио карате)</t>
  </si>
  <si>
    <t>5.8.</t>
  </si>
  <si>
    <t>ПЛАН И ПРОГРАМ ЗА 2024. ГОДИНУ</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</si>
  <si>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</si>
  <si>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 xml:space="preserve">Организација догађаја </t>
  </si>
  <si>
    <t xml:space="preserve">Мрежни догађаји, награде и остале услуге из области културе </t>
  </si>
  <si>
    <t>100 x 2 особе х 3 дана</t>
  </si>
  <si>
    <t>Авио превоз 2  представника ФЦС-а</t>
  </si>
  <si>
    <t>30.000 RSD x 2 члана ФЦС</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</si>
  <si>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2024. треба платити заостале обавезе, а током септембра 2024. треба платити обавезе за организациjу учешћа на Маркету 2025.</t>
  </si>
  <si>
    <t>II део трошкова за Маркет  2024, јануар 2024.</t>
  </si>
  <si>
    <t>Организација догађаја</t>
  </si>
  <si>
    <t>3.000 EUR</t>
  </si>
  <si>
    <t>I део трошкова за Маркет 2025, септембар 2024.</t>
  </si>
  <si>
    <t>Штанд и најам опреме за штанд</t>
  </si>
  <si>
    <t>70.000 RSD * 6 особа</t>
  </si>
  <si>
    <t>15 EUR * 6 особa  * 8 дана</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</si>
  <si>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2023.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</si>
  <si>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15.000 EUR</t>
  </si>
  <si>
    <t>500 EUR</t>
  </si>
  <si>
    <t>60.000 RSD</t>
  </si>
  <si>
    <t>300.000 RSD</t>
  </si>
  <si>
    <t>15 EUR х 8 дана x 8 особa</t>
  </si>
  <si>
    <t>Путни трошкови - 8 авионских карата</t>
  </si>
  <si>
    <t>80.000 RSD x 8 особа</t>
  </si>
  <si>
    <t>17.000 RSD  x 6 особа</t>
  </si>
  <si>
    <t>3000 EUR</t>
  </si>
  <si>
    <t>2.000.000 RSD</t>
  </si>
  <si>
    <t>ReActing as a Star</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</si>
  <si>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</si>
  <si>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7.000 EUR</t>
  </si>
  <si>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МЦФ MegaCom Филма и Удружења за промоциjу независног филма АЦИД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</si>
  <si>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Партнерство</t>
  </si>
  <si>
    <t>Дани српског филма у Пули, у сарадњи са Српским културним центром</t>
  </si>
  <si>
    <t>15 EUR х 4 дана х 3 особе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</si>
  <si>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</si>
  <si>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15 EUR x 4 дана x 5 особа</t>
  </si>
  <si>
    <t>1.000.000 РСД</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</si>
  <si>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</si>
  <si>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500 ЕUR x 5 особе</t>
  </si>
  <si>
    <t>Путни трошкови (2 представника ФЦС и представник документариста + 2 продуцента)</t>
  </si>
  <si>
    <t>45.000 RSD x 5 особа</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</si>
  <si>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</si>
  <si>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</si>
  <si>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</si>
  <si>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</si>
  <si>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</si>
  <si>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</si>
  <si>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</si>
  <si>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</si>
  <si>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</si>
  <si>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</si>
  <si>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</si>
  <si>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</si>
  <si>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</si>
  <si>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</si>
  <si>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</si>
  <si>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</si>
  <si>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</si>
  <si>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</si>
  <si>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шест српских филмова добило подршку за развој.</t>
  </si>
  <si>
    <t>40.000 EUR</t>
  </si>
  <si>
    <t>40.000 RSD х 2 особе</t>
  </si>
  <si>
    <t>Авио карта за представника ФЦС</t>
  </si>
  <si>
    <t>50.000 RSD</t>
  </si>
  <si>
    <t>Смештај за представника ФЦС</t>
  </si>
  <si>
    <t>800 EUR</t>
  </si>
  <si>
    <t>125 EUR x 2 дана</t>
  </si>
  <si>
    <t>15 ЕUR x 2 дана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</si>
  <si>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2024.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2024.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фестивалима.продаjе и дистрибуциjе, сценариjа, камере, звука, дизаjна сценографиjе, нових технологиjа и анимациjе. </t>
  </si>
  <si>
    <t>Хонорари</t>
  </si>
  <si>
    <t>Хонорар преводиоца сајта и материјала Медиа деска</t>
  </si>
  <si>
    <t>30.000 RSD x 2 месецa</t>
  </si>
  <si>
    <t>Дизајн визуалних материјала Медиа деска</t>
  </si>
  <si>
    <t>80.000 RSD x 1 месец</t>
  </si>
  <si>
    <t>Хонорар администратора друштвених мрежа Медиа деска</t>
  </si>
  <si>
    <t>40.000 RSD x 12 месецa</t>
  </si>
  <si>
    <t>Хонорар администратора веб сајта - секција Медиа деска</t>
  </si>
  <si>
    <t>30.000 RSD x 6 месецa</t>
  </si>
  <si>
    <t xml:space="preserve">Организација 3 догађаји у сарадњи са регионалним МЕДИА Деск-овима </t>
  </si>
  <si>
    <t xml:space="preserve">Дневнице (2 особа x 3 дана x 3 догађаја ) </t>
  </si>
  <si>
    <t>2.500 RSD х 3 дана х 2 особа х 3 путовања</t>
  </si>
  <si>
    <t>Хотелски смештај  (2 особа x 2 ноћења х 3 догађаја)</t>
  </si>
  <si>
    <t>12.000 RSD х 2 особе  х 2 ноћења x 3 путовања</t>
  </si>
  <si>
    <t>70.000 RSD x 3 промотивна догађаја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</si>
  <si>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</si>
  <si>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</si>
  <si>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</si>
  <si>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</si>
  <si>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</si>
  <si>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</si>
  <si>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80.000 RSD х 3 особе</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</si>
  <si>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</si>
  <si>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</si>
  <si>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</si>
  <si>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</si>
  <si>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</si>
  <si>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</si>
  <si>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</si>
  <si>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</si>
  <si>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</si>
  <si>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</si>
  <si>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60.000 RSD x 3 промотивна догађаја</t>
  </si>
  <si>
    <t>Кампања повећања видљивости програма Креативна Европа (интервјуи, видео клип)</t>
  </si>
  <si>
    <t>40.000 RSD</t>
  </si>
  <si>
    <t>30.000 RSD</t>
  </si>
  <si>
    <t xml:space="preserve">ИЗДАВАШТВО - план и програм 2024. </t>
  </si>
  <si>
    <t>Иван Карл</t>
  </si>
  <si>
    <t>БЕОГРАДСКИ МЕЂУНАРОДНИ САЈАМ КЊИГА 2024.</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</si>
  <si>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</si>
  <si>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</si>
  <si>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</si>
  <si>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2024.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</si>
  <si>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</si>
  <si>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Дигитализација, обрада, припрема филмских плаката и постера период 1990-1999</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</si>
  <si>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</si>
  <si>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2024. </t>
  </si>
  <si>
    <t>Подршка домаћим филмским фестивалима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</si>
  <si>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</si>
  <si>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 xml:space="preserve">Подршка организацији </t>
  </si>
  <si>
    <t xml:space="preserve">Подршка "industry" сектору </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</si>
  <si>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</si>
  <si>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Сала српског филма</t>
  </si>
  <si>
    <t>Интеракција 2024</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</si>
  <si>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</si>
  <si>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КОНКУРСИ - План и програм  2024.</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</si>
  <si>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</si>
  <si>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</si>
  <si>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Суфинансирање производње домаћих дугометражних играних филмова за децу и омладину</t>
  </si>
  <si>
    <t>Суфинансирање производње домаћих  документарних филмова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</si>
  <si>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</si>
  <si>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</si>
  <si>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развоја пројеката домаћих дугометражних анимираних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</si>
  <si>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</si>
  <si>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</si>
  <si>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</si>
  <si>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</si>
  <si>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</si>
  <si>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</si>
  <si>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Репрограмирање дуговања из претходних година</t>
  </si>
  <si>
    <t>ПРИКАЗ ПЛАНИРАНИХ РАСХОДА ФЦС У 2024.</t>
  </si>
  <si>
    <t>MEDIA Деск Србија</t>
  </si>
  <si>
    <t>Тираж: 300 страна</t>
  </si>
  <si>
    <t>Бранко Вучићевић: ЦЕЛОКУПНА ДЕЛА  6</t>
  </si>
  <si>
    <t>Тираж: 300</t>
  </si>
  <si>
    <t>3200 EUR.</t>
  </si>
  <si>
    <t>Синиша Драгин: ШАМАСКИ РЕЧНИК ЗА ФИЛМОФИЛЕ</t>
  </si>
  <si>
    <t>400 EUR.</t>
  </si>
  <si>
    <t>Саша Радојевић:  СРПСКИ ФИЛМ - ШЕЗДЕСЕТЕ ГОДИНЕ</t>
  </si>
  <si>
    <t>Скенирање визуелних материјала</t>
  </si>
  <si>
    <t>Слободан Шијан:  У ОГЛЕДАЛУ КРИТИКЕ (у сарадњи са САНУ)</t>
  </si>
  <si>
    <t>Скенирање материјала</t>
  </si>
  <si>
    <t>Александар С. Јанковић: МИЛУТИН ПЕТРОВИЋ</t>
  </si>
  <si>
    <t>Властимир Судар: САША ПЕТРОВИЋ - 2. ИЗДАЊЕ</t>
  </si>
  <si>
    <t xml:space="preserve">Тираж: 300 </t>
  </si>
  <si>
    <t>3300 EUR.</t>
  </si>
  <si>
    <t>1600 EUR.</t>
  </si>
  <si>
    <t>1500000  RSD</t>
  </si>
  <si>
    <t>Џозеф Мек Брајд: БИОГРАФИЈА СТИВЕНА СПИЛБЕРГА или Maria Sanchez Arce: THE CINEMA OF PEDRO ALMODOVAR</t>
  </si>
  <si>
    <t>в.д директора Филмског центра Србиjе</t>
  </si>
  <si>
    <t>Филмски центар Србије током 2024. године намерава да распише конкурсе у 22 конкурснe категоријe.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само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2024. години. Укупна средства намењена за финансирање пројеката у  2024. години износе 855 милиона динара. Износ од нешто више од 181 милион динара намењен за репрограмирање дуговања из претходних година.</t>
  </si>
  <si>
    <t xml:space="preserve">Стимулација самостално снимљеног домаћег дугометражног филма </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</si>
  <si>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</si>
  <si>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У Београду, 23.01.2024.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</si>
</sst>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rgb="FF0070C0"/>
      <name val="Arial Narrow"/>
      <family val="2"/>
    </font>
    <font>
      <sz val="12"/>
      <name val="Calibri"/>
      <family val="2"/>
      <charset val="238"/>
      <scheme val="minor"/>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theme="9" tint="-0.249977111117893"/>
      <name val="Arial Narrow"/>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13">
    <xf numFmtId="0" fontId="0" fillId="0" borderId="0" xfId="0"/>
    <xf numFmtId="0" fontId="4"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1" fontId="4" fillId="6" borderId="1" xfId="0" applyNumberFormat="1" applyFont="1" applyFill="1" applyBorder="1" applyAlignment="1">
      <alignment vertical="center" wrapText="1"/>
    </xf>
    <xf numFmtId="0" fontId="12" fillId="0" borderId="0" xfId="0" applyFont="1"/>
    <xf numFmtId="4" fontId="4" fillId="6" borderId="1" xfId="0" applyNumberFormat="1" applyFont="1" applyFill="1" applyBorder="1" applyAlignment="1">
      <alignment vertical="center"/>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1" xfId="0" applyFont="1" applyBorder="1" applyAlignment="1">
      <alignment vertical="center"/>
    </xf>
    <xf numFmtId="0" fontId="4" fillId="0" borderId="0" xfId="0" applyFont="1" applyAlignment="1">
      <alignment vertical="center"/>
    </xf>
    <xf numFmtId="4" fontId="4" fillId="0" borderId="1" xfId="0" applyNumberFormat="1" applyFont="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0" fontId="4" fillId="7" borderId="1" xfId="0" applyFont="1" applyFill="1" applyBorder="1"/>
    <xf numFmtId="0" fontId="10" fillId="6" borderId="1" xfId="0" applyFont="1" applyFill="1" applyBorder="1"/>
    <xf numFmtId="0" fontId="4" fillId="6" borderId="2" xfId="0" applyFont="1" applyFill="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0" fontId="11" fillId="6" borderId="0" xfId="0" applyFont="1" applyFill="1"/>
    <xf numFmtId="0" fontId="10" fillId="6" borderId="0" xfId="0" applyFont="1" applyFill="1"/>
    <xf numFmtId="0" fontId="11" fillId="6" borderId="0" xfId="0" applyFont="1" applyFill="1" applyAlignment="1">
      <alignment vertical="center"/>
    </xf>
    <xf numFmtId="0" fontId="11" fillId="0" borderId="0" xfId="0" applyFont="1"/>
    <xf numFmtId="4" fontId="4" fillId="6" borderId="1" xfId="0" applyNumberFormat="1" applyFont="1" applyFill="1" applyBorder="1" applyAlignment="1">
      <alignment wrapText="1"/>
    </xf>
    <xf numFmtId="0" fontId="5" fillId="6" borderId="1" xfId="0" applyFont="1" applyFill="1" applyBorder="1" applyAlignment="1">
      <alignment horizontal="righ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1" fillId="0" borderId="1" xfId="0"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1" fillId="3" borderId="1" xfId="0" applyNumberFormat="1" applyFont="1" applyFill="1" applyBorder="1" applyAlignment="1">
      <alignment vertical="center"/>
    </xf>
    <xf numFmtId="4" fontId="10" fillId="0" borderId="1" xfId="457" applyNumberFormat="1" applyFont="1" applyBorder="1" applyAlignment="1">
      <alignment vertical="center"/>
    </xf>
    <xf numFmtId="4" fontId="10" fillId="2" borderId="1" xfId="0" applyNumberFormat="1" applyFont="1" applyFill="1" applyBorder="1" applyAlignment="1">
      <alignment vertical="center" wrapText="1"/>
    </xf>
    <xf numFmtId="0" fontId="16" fillId="0" borderId="1" xfId="0" applyFont="1" applyBorder="1"/>
    <xf numFmtId="0" fontId="16" fillId="6" borderId="1" xfId="0" applyFont="1" applyFill="1" applyBorder="1"/>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0" xfId="0" applyFont="1" applyAlignment="1">
      <alignment horizontal="right"/>
    </xf>
    <xf numFmtId="0" fontId="4" fillId="0" borderId="0" xfId="0" applyFont="1" applyAlignment="1">
      <alignment vertical="center" wrapText="1"/>
    </xf>
    <xf numFmtId="4" fontId="11" fillId="0" borderId="1" xfId="0" applyNumberFormat="1" applyFont="1" applyBorder="1" applyAlignment="1">
      <alignment vertical="center" wrapText="1"/>
    </xf>
    <xf numFmtId="0" fontId="11" fillId="0" borderId="1" xfId="0" applyFont="1" applyBorder="1" applyAlignment="1">
      <alignment wrapText="1"/>
    </xf>
    <xf numFmtId="0" fontId="5" fillId="0" borderId="1" xfId="0" applyFont="1" applyBorder="1" applyAlignment="1">
      <alignment horizontal="right"/>
    </xf>
    <xf numFmtId="0" fontId="5" fillId="7" borderId="1" xfId="0" applyFont="1" applyFill="1" applyBorder="1" applyAlignment="1">
      <alignment horizontal="left" vertical="center"/>
    </xf>
    <xf numFmtId="0" fontId="5" fillId="2" borderId="1" xfId="0" applyFont="1" applyFill="1" applyBorder="1" applyAlignment="1">
      <alignment horizontal="left" vertical="center" wrapText="1"/>
    </xf>
    <xf numFmtId="0" fontId="5" fillId="6" borderId="1" xfId="0" applyFont="1" applyFill="1" applyBorder="1" applyAlignment="1">
      <alignment horizontal="left" vertical="center"/>
    </xf>
    <xf numFmtId="0" fontId="4" fillId="6" borderId="1" xfId="0" applyFont="1" applyFill="1" applyBorder="1" applyAlignment="1">
      <alignment horizontal="left" vertical="center"/>
    </xf>
    <xf numFmtId="0" fontId="4" fillId="0" borderId="1" xfId="0" applyFont="1" applyBorder="1" applyAlignment="1">
      <alignment horizontal="left" vertical="center"/>
    </xf>
    <xf numFmtId="0" fontId="5" fillId="6" borderId="1" xfId="0" applyFont="1" applyFill="1" applyBorder="1" applyAlignment="1">
      <alignment horizontal="left"/>
    </xf>
    <xf numFmtId="0" fontId="5" fillId="0" borderId="2" xfId="0" applyFont="1" applyBorder="1" applyAlignment="1">
      <alignment horizontal="left" vertical="center"/>
    </xf>
    <xf numFmtId="4" fontId="4" fillId="0" borderId="0" xfId="0" applyNumberFormat="1" applyFont="1" applyAlignment="1">
      <alignment vertical="center" wrapText="1"/>
    </xf>
    <xf numFmtId="4" fontId="4" fillId="0" borderId="0" xfId="0" applyNumberFormat="1" applyFont="1" applyAlignment="1">
      <alignment horizontal="right" vertical="center" wrapText="1"/>
    </xf>
    <xf numFmtId="0" fontId="13" fillId="3" borderId="1" xfId="0" applyFont="1" applyFill="1" applyBorder="1" applyAlignment="1">
      <alignment vertical="center" wrapText="1"/>
    </xf>
    <xf numFmtId="3" fontId="4" fillId="0" borderId="1" xfId="0" applyNumberFormat="1" applyFont="1" applyBorder="1" applyAlignment="1">
      <alignment horizontal="left" wrapText="1"/>
    </xf>
    <xf numFmtId="4" fontId="5" fillId="0" borderId="1" xfId="0" applyNumberFormat="1" applyFont="1" applyBorder="1" applyAlignment="1">
      <alignment horizontal="right" vertical="top" wrapText="1"/>
    </xf>
    <xf numFmtId="0" fontId="4" fillId="0" borderId="3" xfId="0" applyFont="1" applyBorder="1"/>
    <xf numFmtId="0" fontId="5" fillId="2" borderId="3" xfId="0" applyFont="1" applyFill="1" applyBorder="1" applyAlignment="1">
      <alignment horizontal="left" vertical="center" wrapText="1"/>
    </xf>
    <xf numFmtId="0" fontId="4" fillId="6" borderId="4" xfId="0" applyFont="1" applyFill="1" applyBorder="1"/>
    <xf numFmtId="4" fontId="4" fillId="6" borderId="5" xfId="0" applyNumberFormat="1" applyFont="1" applyFill="1" applyBorder="1" applyAlignment="1">
      <alignment vertical="center"/>
    </xf>
    <xf numFmtId="4" fontId="5" fillId="6" borderId="5" xfId="0" applyNumberFormat="1" applyFont="1" applyFill="1" applyBorder="1" applyAlignment="1">
      <alignment vertical="center"/>
    </xf>
    <xf numFmtId="0" fontId="18" fillId="0" borderId="0" xfId="0" applyFont="1"/>
    <xf numFmtId="4" fontId="4" fillId="3" borderId="1" xfId="0" applyNumberFormat="1" applyFont="1" applyFill="1" applyBorder="1" applyAlignment="1">
      <alignment vertical="center" wrapText="1"/>
    </xf>
    <xf numFmtId="0" fontId="5" fillId="8" borderId="1" xfId="0" applyFont="1" applyFill="1" applyBorder="1"/>
    <xf numFmtId="0" fontId="4" fillId="6" borderId="1" xfId="0" applyFont="1" applyFill="1" applyBorder="1" applyAlignment="1">
      <alignment horizontal="left"/>
    </xf>
    <xf numFmtId="0" fontId="5" fillId="6" borderId="1" xfId="0" applyFont="1" applyFill="1" applyBorder="1"/>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4" fillId="0" borderId="1" xfId="0" applyFont="1" applyBorder="1" applyAlignment="1">
      <alignment horizontal="left" vertical="top" wrapText="1"/>
    </xf>
    <xf numFmtId="3" fontId="5" fillId="3" borderId="1" xfId="458" applyNumberFormat="1" applyFont="1" applyFill="1" applyBorder="1" applyAlignment="1">
      <alignment horizontal="left" vertical="center"/>
    </xf>
    <xf numFmtId="49" fontId="5" fillId="3" borderId="1" xfId="458" applyNumberFormat="1" applyFont="1" applyFill="1" applyBorder="1" applyAlignment="1">
      <alignment horizontal="center" vertical="center" wrapText="1"/>
    </xf>
    <xf numFmtId="0" fontId="4" fillId="3" borderId="1" xfId="0" applyFont="1" applyFill="1" applyBorder="1" applyAlignment="1">
      <alignment vertical="center"/>
    </xf>
    <xf numFmtId="3" fontId="5" fillId="0" borderId="1" xfId="458" applyNumberFormat="1" applyFont="1" applyBorder="1" applyAlignment="1">
      <alignment horizontal="center" vertical="center"/>
    </xf>
    <xf numFmtId="3" fontId="5" fillId="0" borderId="1" xfId="458" applyNumberFormat="1" applyFont="1" applyBorder="1" applyAlignment="1">
      <alignment vertical="center" wrapText="1"/>
    </xf>
    <xf numFmtId="4" fontId="5" fillId="0" borderId="1" xfId="459" applyNumberFormat="1" applyFont="1" applyBorder="1" applyAlignment="1">
      <alignment vertical="center"/>
    </xf>
    <xf numFmtId="3" fontId="5" fillId="0" borderId="1" xfId="459" applyNumberFormat="1" applyFont="1" applyBorder="1" applyAlignment="1">
      <alignment vertical="center"/>
    </xf>
    <xf numFmtId="4" fontId="5" fillId="6" borderId="1" xfId="0" applyNumberFormat="1" applyFont="1" applyFill="1" applyBorder="1" applyAlignment="1">
      <alignment vertical="center"/>
    </xf>
    <xf numFmtId="0" fontId="4" fillId="0" borderId="1" xfId="458" applyFont="1" applyBorder="1" applyAlignment="1">
      <alignment horizontal="left" vertical="center" wrapText="1"/>
    </xf>
    <xf numFmtId="4" fontId="4" fillId="0" borderId="1" xfId="459" applyNumberFormat="1" applyFont="1" applyBorder="1" applyAlignment="1" applyProtection="1">
      <alignment vertical="center"/>
      <protection locked="0"/>
    </xf>
    <xf numFmtId="0" fontId="4" fillId="0" borderId="1" xfId="458" applyFont="1" applyBorder="1" applyAlignment="1">
      <alignment vertical="center" wrapText="1"/>
    </xf>
    <xf numFmtId="0" fontId="5" fillId="0" borderId="1" xfId="458" applyFont="1" applyBorder="1" applyAlignment="1">
      <alignment vertical="center"/>
    </xf>
    <xf numFmtId="4" fontId="5" fillId="0" borderId="1" xfId="459" applyNumberFormat="1" applyFont="1" applyBorder="1" applyAlignment="1" applyProtection="1">
      <alignment vertical="center"/>
      <protection locked="0"/>
    </xf>
    <xf numFmtId="0" fontId="4" fillId="0" borderId="1" xfId="458" applyFont="1" applyBorder="1" applyAlignment="1">
      <alignment vertical="center"/>
    </xf>
    <xf numFmtId="0" fontId="5" fillId="0" borderId="1" xfId="458" applyFont="1" applyBorder="1" applyAlignment="1">
      <alignment vertical="center"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4" fontId="5" fillId="0" borderId="1" xfId="458" applyNumberFormat="1" applyFont="1" applyBorder="1" applyAlignment="1">
      <alignment vertical="center"/>
    </xf>
    <xf numFmtId="4" fontId="5" fillId="0" borderId="1" xfId="457" applyNumberFormat="1" applyFont="1" applyBorder="1" applyAlignment="1">
      <alignment vertical="center"/>
    </xf>
    <xf numFmtId="0" fontId="4" fillId="0" borderId="1" xfId="0" applyFont="1" applyBorder="1" applyAlignment="1">
      <alignment horizontal="center" wrapText="1"/>
    </xf>
    <xf numFmtId="1" fontId="16" fillId="6" borderId="1" xfId="0" applyNumberFormat="1" applyFont="1" applyFill="1" applyBorder="1" applyAlignment="1">
      <alignment vertical="center" wrapText="1"/>
    </xf>
    <xf numFmtId="4" fontId="16" fillId="6" borderId="1" xfId="0" applyNumberFormat="1" applyFont="1" applyFill="1" applyBorder="1" applyAlignment="1">
      <alignment vertical="center" wrapText="1"/>
    </xf>
    <xf numFmtId="4" fontId="16"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4" fontId="16" fillId="6" borderId="1" xfId="0" applyNumberFormat="1" applyFont="1" applyFill="1" applyBorder="1" applyAlignment="1">
      <alignment wrapText="1"/>
    </xf>
    <xf numFmtId="4" fontId="19" fillId="6" borderId="1" xfId="0" applyNumberFormat="1" applyFont="1" applyFill="1" applyBorder="1" applyAlignment="1">
      <alignment vertical="center" wrapText="1"/>
    </xf>
    <xf numFmtId="4" fontId="19" fillId="0" borderId="1" xfId="0" applyNumberFormat="1" applyFont="1" applyBorder="1" applyAlignment="1">
      <alignment vertical="center" wrapText="1"/>
    </xf>
    <xf numFmtId="4" fontId="20" fillId="0" borderId="1" xfId="0" applyNumberFormat="1" applyFont="1" applyBorder="1" applyAlignment="1">
      <alignment horizontal="right" vertical="center" wrapText="1"/>
    </xf>
    <xf numFmtId="4" fontId="19" fillId="6" borderId="1" xfId="0" applyNumberFormat="1" applyFont="1" applyFill="1" applyBorder="1" applyAlignment="1">
      <alignment wrapText="1"/>
    </xf>
    <xf numFmtId="4" fontId="19" fillId="6" borderId="1" xfId="0" applyNumberFormat="1" applyFont="1" applyFill="1" applyBorder="1"/>
    <xf numFmtId="4" fontId="4" fillId="2" borderId="2" xfId="0" applyNumberFormat="1" applyFont="1" applyFill="1" applyBorder="1" applyAlignment="1">
      <alignment vertical="center"/>
    </xf>
    <xf numFmtId="0" fontId="4" fillId="6" borderId="0" xfId="0" applyFont="1" applyFill="1" applyAlignment="1">
      <alignment vertical="center"/>
    </xf>
    <xf numFmtId="3" fontId="10" fillId="0" borderId="1" xfId="458" applyNumberFormat="1" applyFont="1" applyBorder="1" applyAlignment="1">
      <alignment horizontal="center" vertical="center"/>
    </xf>
    <xf numFmtId="3" fontId="10" fillId="0" borderId="1" xfId="458" applyNumberFormat="1" applyFont="1" applyBorder="1" applyAlignment="1">
      <alignment horizontal="center" vertical="center" wrapText="1"/>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4" fillId="3" borderId="1" xfId="0" applyFont="1" applyFill="1" applyBorder="1" applyAlignment="1">
      <alignment vertical="top" wrapText="1"/>
    </xf>
    <xf numFmtId="0" fontId="4" fillId="2" borderId="0" xfId="0" applyFont="1" applyFill="1" applyAlignment="1">
      <alignment horizontal="left" vertical="top" wrapText="1"/>
    </xf>
    <xf numFmtId="0" fontId="4" fillId="0" borderId="0" xfId="0" applyFont="1" applyAlignment="1">
      <alignment horizontal="left" vertical="top"/>
    </xf>
    <xf numFmtId="0" fontId="4" fillId="0" borderId="1" xfId="0" applyFont="1" applyBorder="1" applyAlignment="1">
      <alignment horizontal="left" vertical="top"/>
    </xf>
    <xf numFmtId="0" fontId="5" fillId="0" borderId="1" xfId="0" applyFont="1" applyBorder="1" applyAlignment="1">
      <alignment vertical="center" wrapText="1"/>
    </xf>
    <xf numFmtId="0" fontId="4" fillId="3" borderId="1" xfId="0" applyFont="1" applyFill="1" applyBorder="1" applyAlignment="1">
      <alignment horizontal="left" vertical="top" wrapText="1"/>
    </xf>
    <xf numFmtId="0" fontId="5" fillId="0" borderId="1" xfId="0" applyFont="1" applyBorder="1" applyAlignment="1">
      <alignment horizontal="right"/>
    </xf>
    <xf numFmtId="0" fontId="17" fillId="0" borderId="1" xfId="0" applyFont="1" applyBorder="1" applyAlignment="1">
      <alignment horizontal="right"/>
    </xf>
    <xf numFmtId="0" fontId="5" fillId="7" borderId="1" xfId="0" applyFont="1" applyFill="1" applyBorder="1" applyAlignment="1">
      <alignment horizontal="center"/>
    </xf>
    <xf numFmtId="0" fontId="5" fillId="0" borderId="1" xfId="0" applyFont="1" applyBorder="1" applyAlignment="1">
      <alignment horizontal="center"/>
    </xf>
    <xf numFmtId="0" fontId="4" fillId="2" borderId="3" xfId="0" applyFont="1" applyFill="1" applyBorder="1" applyAlignment="1">
      <alignment horizontal="left" vertical="center" wrapText="1"/>
    </xf>
    <xf numFmtId="0" fontId="4" fillId="0" borderId="3" xfId="0" applyFont="1" applyBorder="1" applyAlignment="1">
      <alignment vertical="center"/>
    </xf>
    <xf numFmtId="0" fontId="4" fillId="3" borderId="1" xfId="0" applyFont="1" applyFill="1" applyBorder="1" applyAlignment="1" applyProtection="1">
      <alignment vertical="top" wrapText="1"/>
      <protection locked="0"/>
    </xf>
    <xf numFmtId="0" fontId="4" fillId="3" borderId="1" xfId="0" applyFont="1" applyFill="1" applyBorder="1" applyAlignment="1">
      <alignment horizontal="left" vertical="top"/>
    </xf>
    <xf numFmtId="0" fontId="5"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5" fillId="6" borderId="1" xfId="0" applyFont="1" applyFill="1" applyBorder="1" applyAlignment="1">
      <alignment horizontal="left" vertical="top" wrapText="1"/>
    </xf>
    <xf numFmtId="0" fontId="4" fillId="9" borderId="1" xfId="0" applyFont="1" applyFill="1" applyBorder="1" applyAlignment="1">
      <alignment horizontal="left" vertical="center" wrapText="1"/>
    </xf>
    <xf numFmtId="0" fontId="4" fillId="9" borderId="1" xfId="0" applyFont="1" applyFill="1" applyBorder="1" applyAlignment="1">
      <alignment horizontal="left" vertical="top" wrapText="1"/>
    </xf>
    <xf numFmtId="0" fontId="4" fillId="9" borderId="1" xfId="0" applyFont="1" applyFill="1" applyBorder="1" applyAlignment="1">
      <alignment horizontal="left" vertical="top"/>
    </xf>
    <xf numFmtId="0" fontId="11" fillId="3" borderId="1" xfId="0" applyFont="1" applyFill="1" applyBorder="1" applyAlignment="1">
      <alignment horizontal="center"/>
    </xf>
    <xf numFmtId="3" fontId="5" fillId="3" borderId="1" xfId="0" applyNumberFormat="1" applyFont="1" applyFill="1" applyBorder="1" applyAlignment="1">
      <alignment horizontal="center" vertical="center" wrapText="1"/>
    </xf>
    <xf numFmtId="0" fontId="4" fillId="9" borderId="1" xfId="0" applyFont="1" applyFill="1" applyBorder="1" applyAlignment="1">
      <alignment wrapText="1"/>
    </xf>
    <xf numFmtId="0" fontId="5"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15" fillId="0" borderId="1" xfId="0" applyFont="1" applyBorder="1" applyAlignment="1">
      <alignment horizontal="left" vertical="center"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27"/>
  <sheetViews>
    <sheetView tabSelected="1" view="pageBreakPreview" zoomScale="85" zoomScaleNormal="85" zoomScaleSheetLayoutView="85" zoomScalePageLayoutView="85" workbookViewId="0">
      <selection activeCell="C27" sqref="C27"/>
    </sheetView>
  </sheetViews>
  <sheetFormatPr defaultColWidth="8.75" defaultRowHeight="15.75" x14ac:dyDescent="0.25"/>
  <cols>
    <col min="1" max="1" width="7.125" style="6" customWidth="1"/>
    <col min="2" max="2" width="5.75" style="8" customWidth="1"/>
    <col min="3" max="3" width="90.375" style="6" customWidth="1"/>
    <col min="4" max="4" width="41.25" style="12" customWidth="1"/>
    <col min="5" max="5" width="17.75" style="72" customWidth="1"/>
    <col min="6" max="6" width="34.875" style="64" customWidth="1"/>
    <col min="7" max="16384" width="8.75" style="1"/>
  </cols>
  <sheetData>
    <row r="1" spans="1:6" x14ac:dyDescent="0.25">
      <c r="A1" s="85"/>
      <c r="B1" s="117"/>
      <c r="C1" s="188" t="s">
        <v>83</v>
      </c>
      <c r="D1" s="188"/>
      <c r="E1" s="188"/>
      <c r="F1" s="83"/>
    </row>
    <row r="2" spans="1:6" x14ac:dyDescent="0.25">
      <c r="C2" s="189" t="s">
        <v>231</v>
      </c>
      <c r="D2" s="189"/>
      <c r="E2" s="189"/>
    </row>
    <row r="3" spans="1:6" x14ac:dyDescent="0.25">
      <c r="A3" s="98"/>
      <c r="B3" s="102"/>
      <c r="C3" s="4" t="s">
        <v>369</v>
      </c>
      <c r="D3" s="5"/>
      <c r="E3" s="64"/>
      <c r="F3" s="100"/>
    </row>
    <row r="4" spans="1:6" x14ac:dyDescent="0.25">
      <c r="A4" s="98"/>
      <c r="B4" s="102"/>
      <c r="D4" s="7" t="s">
        <v>88</v>
      </c>
      <c r="E4" s="65" t="s">
        <v>114</v>
      </c>
      <c r="F4" s="101"/>
    </row>
    <row r="5" spans="1:6" x14ac:dyDescent="0.25">
      <c r="A5" s="98"/>
      <c r="B5" s="102"/>
      <c r="C5" s="8" t="s">
        <v>77</v>
      </c>
      <c r="D5" s="9">
        <f>+F34</f>
        <v>855362000</v>
      </c>
      <c r="E5" s="66">
        <f>+D5/D13</f>
        <v>0.85645826658122393</v>
      </c>
      <c r="F5" s="100"/>
    </row>
    <row r="6" spans="1:6" x14ac:dyDescent="0.25">
      <c r="A6" s="98"/>
      <c r="B6" s="102"/>
      <c r="C6" s="8" t="s">
        <v>121</v>
      </c>
      <c r="D6" s="9">
        <f>+F167</f>
        <v>42067000</v>
      </c>
      <c r="E6" s="66">
        <f>+D6/D13</f>
        <v>4.2120914770906757E-2</v>
      </c>
      <c r="F6" s="100"/>
    </row>
    <row r="7" spans="1:6" x14ac:dyDescent="0.25">
      <c r="A7" s="98"/>
      <c r="B7" s="102"/>
      <c r="C7" s="8" t="s">
        <v>123</v>
      </c>
      <c r="D7" s="9">
        <f>F229</f>
        <v>18220000</v>
      </c>
      <c r="E7" s="66">
        <f>+D7/D13</f>
        <v>1.8243351489907082E-2</v>
      </c>
      <c r="F7" s="100"/>
    </row>
    <row r="8" spans="1:6" x14ac:dyDescent="0.25">
      <c r="A8" s="98"/>
      <c r="B8" s="102"/>
      <c r="C8" s="8" t="s">
        <v>78</v>
      </c>
      <c r="D8" s="9">
        <f>SUM(F353)</f>
        <v>10092000</v>
      </c>
      <c r="E8" s="66">
        <f>+D8/D13</f>
        <v>1.0104934315924383E-2</v>
      </c>
      <c r="F8" s="100"/>
    </row>
    <row r="9" spans="1:6" x14ac:dyDescent="0.25">
      <c r="A9" s="98"/>
      <c r="B9" s="102"/>
      <c r="C9" s="8" t="s">
        <v>370</v>
      </c>
      <c r="D9" s="9">
        <v>2699000</v>
      </c>
      <c r="E9" s="66">
        <f>+D9/D13</f>
        <v>2.7024591477090676E-3</v>
      </c>
      <c r="F9" s="100"/>
    </row>
    <row r="10" spans="1:6" x14ac:dyDescent="0.25">
      <c r="A10" s="98"/>
      <c r="B10" s="102"/>
      <c r="C10" s="8" t="s">
        <v>79</v>
      </c>
      <c r="D10" s="9">
        <v>69680000</v>
      </c>
      <c r="E10" s="66">
        <f>+D10/D13</f>
        <v>6.9769304710028832E-2</v>
      </c>
      <c r="F10" s="100"/>
    </row>
    <row r="11" spans="1:6" x14ac:dyDescent="0.25">
      <c r="A11" s="98"/>
      <c r="B11" s="102"/>
      <c r="C11" s="8" t="s">
        <v>80</v>
      </c>
      <c r="D11" s="9">
        <f>F410</f>
        <v>600000</v>
      </c>
      <c r="E11" s="66">
        <f>+D11/D13</f>
        <v>6.0076898429990385E-4</v>
      </c>
      <c r="F11" s="100"/>
    </row>
    <row r="12" spans="1:6" x14ac:dyDescent="0.25">
      <c r="A12" s="98"/>
      <c r="B12" s="76"/>
      <c r="C12" s="10"/>
      <c r="D12" s="11"/>
      <c r="E12" s="67"/>
      <c r="F12" s="105"/>
    </row>
    <row r="13" spans="1:6" x14ac:dyDescent="0.25">
      <c r="A13" s="98"/>
      <c r="B13" s="102"/>
      <c r="C13" s="16" t="s">
        <v>87</v>
      </c>
      <c r="D13" s="9">
        <f>SUM(D5:D11)</f>
        <v>998720000</v>
      </c>
      <c r="E13" s="68">
        <f>SUM(E5:E11)</f>
        <v>1</v>
      </c>
      <c r="F13" s="106"/>
    </row>
    <row r="14" spans="1:6" ht="19.149999999999999" customHeight="1" x14ac:dyDescent="0.25">
      <c r="A14" s="4"/>
      <c r="B14" s="8">
        <v>1</v>
      </c>
      <c r="C14" s="4" t="s">
        <v>354</v>
      </c>
      <c r="D14" s="94"/>
      <c r="E14" s="64"/>
    </row>
    <row r="15" spans="1:6" s="52" customFormat="1" ht="99.6" customHeight="1" x14ac:dyDescent="0.25">
      <c r="A15" s="129"/>
      <c r="B15" s="130"/>
      <c r="C15" s="190" t="s">
        <v>389</v>
      </c>
      <c r="D15" s="191"/>
      <c r="E15" s="191"/>
      <c r="F15" s="191"/>
    </row>
    <row r="16" spans="1:6" ht="15.75" customHeight="1" x14ac:dyDescent="0.25">
      <c r="A16" s="131">
        <v>424221</v>
      </c>
      <c r="B16" s="120"/>
      <c r="C16" s="15" t="s">
        <v>355</v>
      </c>
      <c r="D16" s="15"/>
      <c r="E16" s="45">
        <v>290000000</v>
      </c>
      <c r="F16" s="132"/>
    </row>
    <row r="17" spans="1:6" ht="25.9" customHeight="1" x14ac:dyDescent="0.25">
      <c r="A17" s="131">
        <v>424221</v>
      </c>
      <c r="B17" s="120"/>
      <c r="C17" s="15" t="s">
        <v>356</v>
      </c>
      <c r="D17" s="15"/>
      <c r="E17" s="41">
        <f>75000000-15000000</f>
        <v>60000000</v>
      </c>
      <c r="F17" s="132"/>
    </row>
    <row r="18" spans="1:6" s="93" customFormat="1" x14ac:dyDescent="0.25">
      <c r="A18" s="131">
        <v>424221</v>
      </c>
      <c r="B18" s="120"/>
      <c r="C18" s="15" t="s">
        <v>357</v>
      </c>
      <c r="D18" s="15"/>
      <c r="E18" s="41">
        <f>70000000-10000000</f>
        <v>60000000</v>
      </c>
      <c r="F18" s="132"/>
    </row>
    <row r="19" spans="1:6" x14ac:dyDescent="0.25">
      <c r="A19" s="131">
        <v>424221</v>
      </c>
      <c r="B19" s="120"/>
      <c r="C19" s="15" t="s">
        <v>358</v>
      </c>
      <c r="D19" s="15"/>
      <c r="E19" s="41">
        <f>70000000-0</f>
        <v>70000000</v>
      </c>
      <c r="F19" s="132"/>
    </row>
    <row r="20" spans="1:6" x14ac:dyDescent="0.25">
      <c r="A20" s="131">
        <v>424221</v>
      </c>
      <c r="B20" s="120"/>
      <c r="C20" s="15" t="s">
        <v>359</v>
      </c>
      <c r="D20" s="15"/>
      <c r="E20" s="45">
        <v>10000000</v>
      </c>
      <c r="F20" s="132"/>
    </row>
    <row r="21" spans="1:6" x14ac:dyDescent="0.25">
      <c r="A21" s="131">
        <v>424221</v>
      </c>
      <c r="B21" s="120"/>
      <c r="C21" s="15" t="s">
        <v>360</v>
      </c>
      <c r="D21" s="15"/>
      <c r="E21" s="41">
        <v>10000000</v>
      </c>
      <c r="F21" s="132"/>
    </row>
    <row r="22" spans="1:6" x14ac:dyDescent="0.25">
      <c r="A22" s="131">
        <v>424221</v>
      </c>
      <c r="B22" s="120"/>
      <c r="C22" s="44" t="s">
        <v>361</v>
      </c>
      <c r="D22" s="44"/>
      <c r="E22" s="41">
        <v>7000000</v>
      </c>
      <c r="F22" s="132"/>
    </row>
    <row r="23" spans="1:6" x14ac:dyDescent="0.25">
      <c r="A23" s="131">
        <v>424221</v>
      </c>
      <c r="B23" s="120"/>
      <c r="C23" s="111" t="s">
        <v>362</v>
      </c>
      <c r="D23" s="111"/>
      <c r="E23" s="41">
        <v>12000000</v>
      </c>
      <c r="F23" s="132"/>
    </row>
    <row r="24" spans="1:6" x14ac:dyDescent="0.25">
      <c r="A24" s="131">
        <v>424221</v>
      </c>
      <c r="B24" s="120"/>
      <c r="C24" s="15" t="s">
        <v>363</v>
      </c>
      <c r="D24" s="15"/>
      <c r="E24" s="41">
        <v>12000000</v>
      </c>
      <c r="F24" s="132"/>
    </row>
    <row r="25" spans="1:6" x14ac:dyDescent="0.25">
      <c r="A25" s="131">
        <v>424221</v>
      </c>
      <c r="B25" s="120"/>
      <c r="C25" s="15" t="s">
        <v>364</v>
      </c>
      <c r="D25" s="15"/>
      <c r="E25" s="45">
        <v>8000000</v>
      </c>
      <c r="F25" s="132"/>
    </row>
    <row r="26" spans="1:6" ht="31.5" x14ac:dyDescent="0.25">
      <c r="A26" s="131">
        <v>424221</v>
      </c>
      <c r="B26" s="120"/>
      <c r="C26" s="27" t="s">
        <v>391</v>
      </c>
      <c r="D26" s="27"/>
      <c r="E26" s="41">
        <f>18000000-3000000</f>
        <v>15000000</v>
      </c>
      <c r="F26" s="132"/>
    </row>
    <row r="27" spans="1:6" x14ac:dyDescent="0.25">
      <c r="A27" s="131">
        <v>424221</v>
      </c>
      <c r="B27" s="120"/>
      <c r="C27" s="27" t="s">
        <v>390</v>
      </c>
      <c r="D27" s="27"/>
      <c r="E27" s="41">
        <v>10000000</v>
      </c>
      <c r="F27" s="132"/>
    </row>
    <row r="28" spans="1:6" x14ac:dyDescent="0.25">
      <c r="A28" s="131">
        <v>424221</v>
      </c>
      <c r="B28" s="120"/>
      <c r="C28" s="15" t="s">
        <v>365</v>
      </c>
      <c r="D28" s="15"/>
      <c r="E28" s="41">
        <v>80000000</v>
      </c>
      <c r="F28" s="132"/>
    </row>
    <row r="29" spans="1:6" ht="21.75" customHeight="1" x14ac:dyDescent="0.25">
      <c r="A29" s="131">
        <v>424221</v>
      </c>
      <c r="B29" s="120"/>
      <c r="C29" s="15" t="s">
        <v>366</v>
      </c>
      <c r="D29" s="15"/>
      <c r="E29" s="45">
        <v>8000000</v>
      </c>
      <c r="F29" s="132"/>
    </row>
    <row r="30" spans="1:6" s="93" customFormat="1" x14ac:dyDescent="0.25">
      <c r="A30" s="131">
        <v>424221</v>
      </c>
      <c r="B30" s="120"/>
      <c r="C30" s="46" t="s">
        <v>177</v>
      </c>
      <c r="D30" s="46"/>
      <c r="E30" s="41">
        <f>6000000-1000000</f>
        <v>5000000</v>
      </c>
      <c r="F30" s="133"/>
    </row>
    <row r="31" spans="1:6" ht="47.25" x14ac:dyDescent="0.25">
      <c r="A31" s="131">
        <v>424221</v>
      </c>
      <c r="B31" s="120"/>
      <c r="C31" s="46" t="s">
        <v>367</v>
      </c>
      <c r="D31" s="46"/>
      <c r="E31" s="41">
        <f>18000000-1000000</f>
        <v>17000000</v>
      </c>
      <c r="F31" s="132"/>
    </row>
    <row r="32" spans="1:6" x14ac:dyDescent="0.25">
      <c r="A32" s="131">
        <v>424221</v>
      </c>
      <c r="B32" s="120"/>
      <c r="C32" s="59" t="s">
        <v>368</v>
      </c>
      <c r="D32" s="59"/>
      <c r="E32" s="53">
        <f>222970000-41000000-608000</f>
        <v>181362000</v>
      </c>
      <c r="F32" s="133"/>
    </row>
    <row r="33" spans="1:6" x14ac:dyDescent="0.25">
      <c r="A33" s="98"/>
      <c r="B33" s="76"/>
      <c r="C33" s="103"/>
      <c r="D33" s="19"/>
      <c r="E33" s="172"/>
      <c r="F33" s="107"/>
    </row>
    <row r="34" spans="1:6" x14ac:dyDescent="0.25">
      <c r="A34" s="98"/>
      <c r="B34" s="102"/>
      <c r="C34" s="98"/>
      <c r="D34" s="22" t="s">
        <v>81</v>
      </c>
      <c r="E34" s="69"/>
      <c r="F34" s="70">
        <f>SUM(E16:E32)</f>
        <v>855362000</v>
      </c>
    </row>
    <row r="35" spans="1:6" x14ac:dyDescent="0.25">
      <c r="B35" s="8">
        <v>2</v>
      </c>
      <c r="C35" s="23" t="s">
        <v>121</v>
      </c>
      <c r="E35" s="28"/>
      <c r="F35" s="28"/>
    </row>
    <row r="36" spans="1:6" x14ac:dyDescent="0.25">
      <c r="C36" s="23"/>
      <c r="E36" s="28"/>
      <c r="F36" s="28"/>
    </row>
    <row r="37" spans="1:6" x14ac:dyDescent="0.25">
      <c r="B37" s="8" t="s">
        <v>127</v>
      </c>
      <c r="C37" s="39" t="s">
        <v>1</v>
      </c>
      <c r="E37" s="28"/>
      <c r="F37" s="28"/>
    </row>
    <row r="38" spans="1:6" ht="33" customHeight="1" x14ac:dyDescent="0.25">
      <c r="B38" s="118"/>
      <c r="C38" s="192" t="s">
        <v>116</v>
      </c>
      <c r="D38" s="192"/>
      <c r="E38" s="192"/>
      <c r="F38" s="192"/>
    </row>
    <row r="39" spans="1:6" ht="19.149999999999999" customHeight="1" x14ac:dyDescent="0.25">
      <c r="A39" s="35">
        <v>421422</v>
      </c>
      <c r="B39" s="119"/>
      <c r="C39" s="27" t="s">
        <v>17</v>
      </c>
      <c r="D39" s="43"/>
      <c r="E39" s="41">
        <v>120000</v>
      </c>
      <c r="F39" s="42"/>
    </row>
    <row r="40" spans="1:6" x14ac:dyDescent="0.25">
      <c r="C40" s="24" t="s">
        <v>0</v>
      </c>
      <c r="E40" s="28"/>
      <c r="F40" s="17">
        <f>SUM(E39)</f>
        <v>120000</v>
      </c>
    </row>
    <row r="41" spans="1:6" x14ac:dyDescent="0.25">
      <c r="B41" s="118"/>
      <c r="C41" s="18"/>
      <c r="D41" s="19"/>
      <c r="E41" s="25"/>
      <c r="F41" s="21"/>
    </row>
    <row r="42" spans="1:6" x14ac:dyDescent="0.25">
      <c r="B42" s="8" t="s">
        <v>128</v>
      </c>
      <c r="C42" s="184" t="s">
        <v>101</v>
      </c>
      <c r="D42" s="184"/>
      <c r="E42" s="28"/>
      <c r="F42" s="28"/>
    </row>
    <row r="43" spans="1:6" ht="245.25" customHeight="1" x14ac:dyDescent="0.25">
      <c r="B43" s="118"/>
      <c r="C43" s="180" t="s">
        <v>232</v>
      </c>
      <c r="D43" s="180"/>
      <c r="E43" s="180"/>
      <c r="F43" s="180"/>
    </row>
    <row r="44" spans="1:6" s="2" customFormat="1" x14ac:dyDescent="0.25">
      <c r="A44" s="35">
        <v>422221</v>
      </c>
      <c r="B44" s="120"/>
      <c r="C44" s="27" t="s">
        <v>12</v>
      </c>
      <c r="D44" s="43"/>
      <c r="E44" s="41">
        <f>3000000-1200000</f>
        <v>1800000</v>
      </c>
      <c r="F44" s="162"/>
    </row>
    <row r="45" spans="1:6" s="2" customFormat="1" x14ac:dyDescent="0.25">
      <c r="A45" s="35">
        <v>422231</v>
      </c>
      <c r="B45" s="120"/>
      <c r="C45" s="27" t="s">
        <v>14</v>
      </c>
      <c r="D45" s="43"/>
      <c r="E45" s="41">
        <f>3000000-1404600</f>
        <v>1595400</v>
      </c>
      <c r="F45" s="162"/>
    </row>
    <row r="46" spans="1:6" s="2" customFormat="1" x14ac:dyDescent="0.25">
      <c r="A46" s="35">
        <v>424221</v>
      </c>
      <c r="B46" s="120"/>
      <c r="C46" s="27" t="s">
        <v>233</v>
      </c>
      <c r="D46" s="43"/>
      <c r="E46" s="41">
        <f>10000000-5000000</f>
        <v>5000000</v>
      </c>
      <c r="F46" s="51"/>
    </row>
    <row r="47" spans="1:6" s="2" customFormat="1" x14ac:dyDescent="0.25">
      <c r="A47" s="35">
        <v>423322</v>
      </c>
      <c r="B47" s="120"/>
      <c r="C47" s="27" t="s">
        <v>13</v>
      </c>
      <c r="D47" s="43"/>
      <c r="E47" s="41">
        <f>2000000-320000</f>
        <v>1680000</v>
      </c>
      <c r="F47" s="167"/>
    </row>
    <row r="48" spans="1:6" s="2" customFormat="1" x14ac:dyDescent="0.25">
      <c r="A48" s="35">
        <v>424221</v>
      </c>
      <c r="B48" s="120"/>
      <c r="C48" s="27" t="s">
        <v>234</v>
      </c>
      <c r="D48" s="43"/>
      <c r="E48" s="41">
        <f>10000000-5000000</f>
        <v>5000000</v>
      </c>
      <c r="F48" s="42"/>
    </row>
    <row r="49" spans="1:6" s="2" customFormat="1" x14ac:dyDescent="0.25">
      <c r="A49" s="35">
        <v>422392</v>
      </c>
      <c r="B49" s="120"/>
      <c r="C49" s="27" t="s">
        <v>18</v>
      </c>
      <c r="D49" s="40"/>
      <c r="E49" s="41">
        <v>300000</v>
      </c>
      <c r="F49" s="163"/>
    </row>
    <row r="50" spans="1:6" s="2" customFormat="1" x14ac:dyDescent="0.25">
      <c r="A50" s="35">
        <v>422211</v>
      </c>
      <c r="B50" s="120"/>
      <c r="C50" s="27" t="s">
        <v>15</v>
      </c>
      <c r="D50" s="27"/>
      <c r="E50" s="41">
        <v>200000</v>
      </c>
      <c r="F50" s="162"/>
    </row>
    <row r="51" spans="1:6" x14ac:dyDescent="0.25">
      <c r="A51" s="35"/>
      <c r="B51" s="119"/>
      <c r="C51" s="47" t="s">
        <v>0</v>
      </c>
      <c r="D51" s="43"/>
      <c r="E51" s="42"/>
      <c r="F51" s="50">
        <f>SUM(E44:E50)</f>
        <v>15575400</v>
      </c>
    </row>
    <row r="52" spans="1:6" x14ac:dyDescent="0.25">
      <c r="B52" s="118"/>
      <c r="C52" s="18"/>
      <c r="D52" s="19"/>
      <c r="E52" s="25"/>
      <c r="F52" s="21"/>
    </row>
    <row r="53" spans="1:6" ht="22.15" customHeight="1" x14ac:dyDescent="0.25">
      <c r="B53" s="8" t="s">
        <v>129</v>
      </c>
      <c r="C53" s="39" t="s">
        <v>90</v>
      </c>
      <c r="E53" s="28"/>
      <c r="F53" s="28"/>
    </row>
    <row r="54" spans="1:6" s="2" customFormat="1" x14ac:dyDescent="0.25">
      <c r="A54" s="35"/>
      <c r="B54" s="97"/>
      <c r="C54" s="185" t="s">
        <v>179</v>
      </c>
      <c r="D54" s="185"/>
      <c r="E54" s="185"/>
      <c r="F54" s="193"/>
    </row>
    <row r="55" spans="1:6" ht="19.5" customHeight="1" x14ac:dyDescent="0.25">
      <c r="A55" s="6">
        <v>424221</v>
      </c>
      <c r="B55" s="120"/>
      <c r="C55" s="27" t="s">
        <v>91</v>
      </c>
      <c r="D55" s="27" t="s">
        <v>148</v>
      </c>
      <c r="E55" s="41">
        <f>SUM(5000*120)</f>
        <v>600000</v>
      </c>
      <c r="F55" s="75"/>
    </row>
    <row r="56" spans="1:6" ht="17.649999999999999" customHeight="1" x14ac:dyDescent="0.25">
      <c r="A56" s="6">
        <v>422231</v>
      </c>
      <c r="B56" s="120"/>
      <c r="C56" s="27" t="s">
        <v>14</v>
      </c>
      <c r="D56" s="27" t="s">
        <v>235</v>
      </c>
      <c r="E56" s="41">
        <f>SUM(100*2*3*120)</f>
        <v>72000</v>
      </c>
      <c r="F56" s="162"/>
    </row>
    <row r="57" spans="1:6" s="2" customFormat="1" ht="18" customHeight="1" x14ac:dyDescent="0.25">
      <c r="A57" s="35">
        <v>423322</v>
      </c>
      <c r="B57" s="120"/>
      <c r="C57" s="27" t="s">
        <v>97</v>
      </c>
      <c r="D57" s="27" t="s">
        <v>192</v>
      </c>
      <c r="E57" s="41">
        <v>120000</v>
      </c>
      <c r="F57" s="167"/>
    </row>
    <row r="58" spans="1:6" s="2" customFormat="1" ht="18" customHeight="1" x14ac:dyDescent="0.25">
      <c r="A58" s="35">
        <v>422221</v>
      </c>
      <c r="B58" s="120"/>
      <c r="C58" s="27" t="s">
        <v>236</v>
      </c>
      <c r="D58" s="27" t="s">
        <v>237</v>
      </c>
      <c r="E58" s="42">
        <f>SUM(30000*2)</f>
        <v>60000</v>
      </c>
      <c r="F58" s="162"/>
    </row>
    <row r="59" spans="1:6" s="2" customFormat="1" x14ac:dyDescent="0.25">
      <c r="A59" s="35">
        <v>423711</v>
      </c>
      <c r="B59" s="120"/>
      <c r="C59" s="27" t="s">
        <v>62</v>
      </c>
      <c r="D59" s="27" t="s">
        <v>159</v>
      </c>
      <c r="E59" s="42">
        <f>1000*120</f>
        <v>120000</v>
      </c>
      <c r="F59" s="167"/>
    </row>
    <row r="60" spans="1:6" s="2" customFormat="1" x14ac:dyDescent="0.25">
      <c r="A60" s="35">
        <v>422211</v>
      </c>
      <c r="B60" s="120"/>
      <c r="C60" s="43" t="s">
        <v>102</v>
      </c>
      <c r="D60" s="43" t="s">
        <v>228</v>
      </c>
      <c r="E60" s="41">
        <f>SUM(15*3*3*120)</f>
        <v>16200</v>
      </c>
      <c r="F60" s="162"/>
    </row>
    <row r="61" spans="1:6" s="2" customFormat="1" x14ac:dyDescent="0.25">
      <c r="A61" s="35"/>
      <c r="B61" s="119"/>
      <c r="C61" s="47" t="s">
        <v>0</v>
      </c>
      <c r="D61" s="43"/>
      <c r="E61" s="42"/>
      <c r="F61" s="50">
        <f>SUM(E55:E60)</f>
        <v>988200</v>
      </c>
    </row>
    <row r="62" spans="1:6" s="2" customFormat="1" x14ac:dyDescent="0.25">
      <c r="A62" s="35"/>
      <c r="B62" s="97"/>
      <c r="C62" s="18"/>
      <c r="D62" s="19"/>
      <c r="E62" s="25"/>
      <c r="F62" s="21"/>
    </row>
    <row r="63" spans="1:6" s="2" customFormat="1" ht="15" customHeight="1" x14ac:dyDescent="0.25">
      <c r="A63" s="86"/>
      <c r="B63" s="8" t="s">
        <v>130</v>
      </c>
      <c r="C63" s="39" t="s">
        <v>24</v>
      </c>
      <c r="D63" s="12"/>
      <c r="E63" s="28"/>
      <c r="F63" s="28"/>
    </row>
    <row r="64" spans="1:6" ht="32.450000000000003" customHeight="1" x14ac:dyDescent="0.25">
      <c r="A64" s="35"/>
      <c r="B64" s="97"/>
      <c r="C64" s="178" t="s">
        <v>238</v>
      </c>
      <c r="D64" s="178"/>
      <c r="E64" s="178"/>
      <c r="F64" s="178"/>
    </row>
    <row r="65" spans="1:6" s="2" customFormat="1" x14ac:dyDescent="0.25">
      <c r="A65" s="35"/>
      <c r="B65" s="59"/>
      <c r="C65" s="33" t="s">
        <v>239</v>
      </c>
      <c r="D65" s="50">
        <f>SUM(E66:E66)</f>
        <v>360000</v>
      </c>
      <c r="E65" s="59"/>
      <c r="F65" s="59"/>
    </row>
    <row r="66" spans="1:6" s="2" customFormat="1" x14ac:dyDescent="0.25">
      <c r="A66" s="35">
        <v>423711</v>
      </c>
      <c r="B66" s="59"/>
      <c r="C66" s="74" t="s">
        <v>156</v>
      </c>
      <c r="D66" s="74" t="s">
        <v>241</v>
      </c>
      <c r="E66" s="53">
        <v>360000</v>
      </c>
      <c r="F66" s="49"/>
    </row>
    <row r="67" spans="1:6" s="2" customFormat="1" x14ac:dyDescent="0.25">
      <c r="A67" s="35"/>
      <c r="B67" s="119"/>
      <c r="C67" s="55" t="s">
        <v>242</v>
      </c>
      <c r="D67" s="57">
        <f>SUM(E68:E73)</f>
        <v>2798400</v>
      </c>
      <c r="E67" s="53"/>
      <c r="F67" s="59"/>
    </row>
    <row r="68" spans="1:6" s="2" customFormat="1" x14ac:dyDescent="0.25">
      <c r="A68" s="35">
        <v>421619</v>
      </c>
      <c r="B68" s="59"/>
      <c r="C68" s="74" t="s">
        <v>243</v>
      </c>
      <c r="D68" s="74" t="s">
        <v>201</v>
      </c>
      <c r="E68" s="53">
        <f>10000*120</f>
        <v>1200000</v>
      </c>
      <c r="F68" s="59"/>
    </row>
    <row r="69" spans="1:6" s="2" customFormat="1" x14ac:dyDescent="0.25">
      <c r="A69" s="35">
        <v>422221</v>
      </c>
      <c r="B69" s="120"/>
      <c r="C69" s="27" t="s">
        <v>117</v>
      </c>
      <c r="D69" s="56" t="s">
        <v>244</v>
      </c>
      <c r="E69" s="41">
        <f>SUM(70000*6)</f>
        <v>420000</v>
      </c>
      <c r="F69" s="51"/>
    </row>
    <row r="70" spans="1:6" s="2" customFormat="1" x14ac:dyDescent="0.25">
      <c r="A70" s="35">
        <v>422231</v>
      </c>
      <c r="B70" s="120"/>
      <c r="C70" s="27" t="s">
        <v>189</v>
      </c>
      <c r="D70" s="27" t="s">
        <v>215</v>
      </c>
      <c r="E70" s="41">
        <f>SUM(8000*120)</f>
        <v>960000</v>
      </c>
      <c r="F70" s="51"/>
    </row>
    <row r="71" spans="1:6" ht="16.899999999999999" customHeight="1" x14ac:dyDescent="0.25">
      <c r="A71" s="6">
        <v>423422</v>
      </c>
      <c r="B71" s="120"/>
      <c r="C71" s="35" t="s">
        <v>157</v>
      </c>
      <c r="D71" s="35" t="s">
        <v>190</v>
      </c>
      <c r="E71" s="53">
        <f>700*120</f>
        <v>84000</v>
      </c>
      <c r="F71" s="42"/>
    </row>
    <row r="72" spans="1:6" x14ac:dyDescent="0.25">
      <c r="A72" s="6">
        <v>423422</v>
      </c>
      <c r="B72" s="120"/>
      <c r="C72" s="35" t="s">
        <v>158</v>
      </c>
      <c r="D72" s="35" t="s">
        <v>191</v>
      </c>
      <c r="E72" s="53">
        <f>400*120</f>
        <v>48000</v>
      </c>
      <c r="F72" s="42"/>
    </row>
    <row r="73" spans="1:6" ht="16.899999999999999" customHeight="1" x14ac:dyDescent="0.25">
      <c r="A73" s="6">
        <v>422211</v>
      </c>
      <c r="B73" s="59"/>
      <c r="C73" s="74" t="s">
        <v>6</v>
      </c>
      <c r="D73" s="74" t="s">
        <v>245</v>
      </c>
      <c r="E73" s="53">
        <f>SUM(15*6*8*120)</f>
        <v>86400</v>
      </c>
      <c r="F73" s="59"/>
    </row>
    <row r="74" spans="1:6" ht="16.5" customHeight="1" x14ac:dyDescent="0.25">
      <c r="A74" s="186" t="s">
        <v>0</v>
      </c>
      <c r="B74" s="187"/>
      <c r="C74" s="187"/>
      <c r="D74" s="14"/>
      <c r="E74" s="28"/>
      <c r="F74" s="17">
        <f>D65+D67</f>
        <v>3158400</v>
      </c>
    </row>
    <row r="75" spans="1:6" s="2" customFormat="1" ht="16.899999999999999" customHeight="1" x14ac:dyDescent="0.25">
      <c r="A75" s="35"/>
      <c r="B75" s="97"/>
      <c r="C75" s="18"/>
      <c r="D75" s="19"/>
      <c r="E75" s="25"/>
      <c r="F75" s="21"/>
    </row>
    <row r="76" spans="1:6" s="2" customFormat="1" ht="16.899999999999999" customHeight="1" x14ac:dyDescent="0.25">
      <c r="A76" s="35"/>
      <c r="B76" s="8" t="s">
        <v>132</v>
      </c>
      <c r="C76" s="39" t="s">
        <v>23</v>
      </c>
      <c r="D76" s="12"/>
      <c r="E76" s="28"/>
      <c r="F76" s="28"/>
    </row>
    <row r="77" spans="1:6" s="2" customFormat="1" ht="39" customHeight="1" x14ac:dyDescent="0.25">
      <c r="A77" s="35"/>
      <c r="B77" s="97"/>
      <c r="C77" s="176" t="s">
        <v>246</v>
      </c>
      <c r="D77" s="176"/>
      <c r="E77" s="176"/>
      <c r="F77" s="177"/>
    </row>
    <row r="78" spans="1:6" s="2" customFormat="1" ht="16.899999999999999" customHeight="1" x14ac:dyDescent="0.25">
      <c r="A78" s="35">
        <v>421619</v>
      </c>
      <c r="B78" s="119"/>
      <c r="C78" s="27" t="s">
        <v>112</v>
      </c>
      <c r="D78" s="27" t="s">
        <v>247</v>
      </c>
      <c r="E78" s="41">
        <f>15000*120</f>
        <v>1800000</v>
      </c>
      <c r="F78" s="42"/>
    </row>
    <row r="79" spans="1:6" s="2" customFormat="1" ht="16.899999999999999" customHeight="1" x14ac:dyDescent="0.25">
      <c r="A79" s="35">
        <v>423422</v>
      </c>
      <c r="B79" s="120"/>
      <c r="C79" s="27" t="s">
        <v>2</v>
      </c>
      <c r="D79" s="27" t="s">
        <v>248</v>
      </c>
      <c r="E79" s="41">
        <f>500*120</f>
        <v>60000</v>
      </c>
      <c r="F79" s="42"/>
    </row>
    <row r="80" spans="1:6" s="2" customFormat="1" ht="16.899999999999999" customHeight="1" x14ac:dyDescent="0.25">
      <c r="A80" s="35">
        <v>423911</v>
      </c>
      <c r="B80" s="120"/>
      <c r="C80" s="43" t="s">
        <v>19</v>
      </c>
      <c r="D80" s="80" t="s">
        <v>249</v>
      </c>
      <c r="E80" s="42">
        <v>60000</v>
      </c>
      <c r="F80" s="42"/>
    </row>
    <row r="81" spans="1:6" ht="16.899999999999999" customHeight="1" x14ac:dyDescent="0.25">
      <c r="A81" s="35">
        <v>423599</v>
      </c>
      <c r="B81" s="120"/>
      <c r="C81" s="74" t="s">
        <v>178</v>
      </c>
      <c r="D81" s="56" t="s">
        <v>250</v>
      </c>
      <c r="E81" s="41">
        <v>300000</v>
      </c>
      <c r="F81" s="42"/>
    </row>
    <row r="82" spans="1:6" s="2" customFormat="1" ht="16.899999999999999" customHeight="1" x14ac:dyDescent="0.25">
      <c r="A82" s="35">
        <v>422211</v>
      </c>
      <c r="B82" s="120"/>
      <c r="C82" s="27" t="s">
        <v>3</v>
      </c>
      <c r="D82" s="27" t="s">
        <v>251</v>
      </c>
      <c r="E82" s="41">
        <f>SUM(15*8*8*120)</f>
        <v>115200</v>
      </c>
      <c r="F82" s="51"/>
    </row>
    <row r="83" spans="1:6" s="2" customFormat="1" ht="16.899999999999999" customHeight="1" x14ac:dyDescent="0.25">
      <c r="A83" s="35">
        <v>422231</v>
      </c>
      <c r="B83" s="120"/>
      <c r="C83" s="27" t="s">
        <v>4</v>
      </c>
      <c r="D83" s="27" t="s">
        <v>247</v>
      </c>
      <c r="E83" s="41">
        <f>SUM(15000*120)</f>
        <v>1800000</v>
      </c>
      <c r="F83" s="51"/>
    </row>
    <row r="84" spans="1:6" s="2" customFormat="1" ht="16.899999999999999" customHeight="1" x14ac:dyDescent="0.25">
      <c r="A84" s="35">
        <v>422221</v>
      </c>
      <c r="B84" s="120"/>
      <c r="C84" s="27" t="s">
        <v>252</v>
      </c>
      <c r="D84" s="27" t="s">
        <v>253</v>
      </c>
      <c r="E84" s="41">
        <f>SUM(80000*8)</f>
        <v>640000</v>
      </c>
      <c r="F84" s="51"/>
    </row>
    <row r="85" spans="1:6" s="2" customFormat="1" ht="16.899999999999999" customHeight="1" x14ac:dyDescent="0.25">
      <c r="A85" s="35">
        <v>421522</v>
      </c>
      <c r="B85" s="120"/>
      <c r="C85" s="27" t="s">
        <v>5</v>
      </c>
      <c r="D85" s="27" t="s">
        <v>254</v>
      </c>
      <c r="E85" s="41">
        <f>17000*6</f>
        <v>102000</v>
      </c>
      <c r="F85" s="42"/>
    </row>
    <row r="86" spans="1:6" s="2" customFormat="1" ht="16.899999999999999" customHeight="1" x14ac:dyDescent="0.25">
      <c r="A86" s="35">
        <v>423711</v>
      </c>
      <c r="B86" s="120"/>
      <c r="C86" s="27" t="s">
        <v>113</v>
      </c>
      <c r="D86" s="27" t="s">
        <v>255</v>
      </c>
      <c r="E86" s="41">
        <f>120000+240000</f>
        <v>360000</v>
      </c>
      <c r="F86" s="42"/>
    </row>
    <row r="87" spans="1:6" ht="16.899999999999999" customHeight="1" x14ac:dyDescent="0.25">
      <c r="A87" s="35">
        <v>426621</v>
      </c>
      <c r="B87" s="120"/>
      <c r="C87" s="27" t="s">
        <v>16</v>
      </c>
      <c r="D87" s="27" t="s">
        <v>250</v>
      </c>
      <c r="E87" s="41">
        <v>100000</v>
      </c>
      <c r="F87" s="42"/>
    </row>
    <row r="88" spans="1:6" x14ac:dyDescent="0.25">
      <c r="A88" s="35">
        <v>424221</v>
      </c>
      <c r="B88" s="120"/>
      <c r="C88" s="74" t="s">
        <v>240</v>
      </c>
      <c r="D88" s="58" t="s">
        <v>256</v>
      </c>
      <c r="E88" s="41">
        <v>2000000</v>
      </c>
      <c r="F88" s="75"/>
    </row>
    <row r="89" spans="1:6" x14ac:dyDescent="0.25">
      <c r="A89" s="186" t="s">
        <v>0</v>
      </c>
      <c r="B89" s="187"/>
      <c r="C89" s="187"/>
      <c r="E89" s="28"/>
      <c r="F89" s="17">
        <f>SUM(E78:E88)</f>
        <v>7337200</v>
      </c>
    </row>
    <row r="90" spans="1:6" ht="18.75" customHeight="1" x14ac:dyDescent="0.25">
      <c r="A90" s="108"/>
      <c r="B90" s="97"/>
      <c r="C90" s="18"/>
      <c r="D90" s="19"/>
      <c r="E90" s="25"/>
      <c r="F90" s="21"/>
    </row>
    <row r="91" spans="1:6" s="2" customFormat="1" ht="20.25" customHeight="1" x14ac:dyDescent="0.25">
      <c r="A91" s="109"/>
      <c r="B91" s="8" t="s">
        <v>131</v>
      </c>
      <c r="C91" s="39" t="s">
        <v>257</v>
      </c>
      <c r="D91" s="12"/>
      <c r="E91" s="28"/>
      <c r="F91" s="28"/>
    </row>
    <row r="92" spans="1:6" s="2" customFormat="1" ht="82.9" customHeight="1" x14ac:dyDescent="0.25">
      <c r="A92" s="109"/>
      <c r="B92" s="59"/>
      <c r="C92" s="185" t="s">
        <v>258</v>
      </c>
      <c r="D92" s="185"/>
      <c r="E92" s="185"/>
      <c r="F92" s="126"/>
    </row>
    <row r="93" spans="1:6" s="2" customFormat="1" x14ac:dyDescent="0.25">
      <c r="A93" s="35">
        <v>424221</v>
      </c>
      <c r="B93" s="120"/>
      <c r="C93" s="61" t="s">
        <v>181</v>
      </c>
      <c r="D93" s="60" t="s">
        <v>259</v>
      </c>
      <c r="E93" s="42">
        <f>7000*120</f>
        <v>840000</v>
      </c>
      <c r="F93" s="42"/>
    </row>
    <row r="94" spans="1:6" s="2" customFormat="1" x14ac:dyDescent="0.25">
      <c r="A94" s="35"/>
      <c r="B94" s="8"/>
      <c r="C94" s="24" t="s">
        <v>0</v>
      </c>
      <c r="D94" s="12"/>
      <c r="E94" s="28"/>
      <c r="F94" s="17">
        <f>SUM(E93)</f>
        <v>840000</v>
      </c>
    </row>
    <row r="95" spans="1:6" s="2" customFormat="1" x14ac:dyDescent="0.25">
      <c r="A95" s="35"/>
      <c r="B95" s="97"/>
      <c r="C95" s="18"/>
      <c r="D95" s="19"/>
      <c r="E95" s="25"/>
      <c r="F95" s="21"/>
    </row>
    <row r="96" spans="1:6" s="2" customFormat="1" x14ac:dyDescent="0.25">
      <c r="A96" s="35"/>
      <c r="B96" s="8">
        <v>2.7</v>
      </c>
      <c r="C96" s="55" t="s">
        <v>200</v>
      </c>
      <c r="D96" s="12"/>
      <c r="E96" s="28"/>
      <c r="F96" s="28"/>
    </row>
    <row r="97" spans="1:6" s="2" customFormat="1" ht="66.599999999999994" customHeight="1" x14ac:dyDescent="0.25">
      <c r="A97" s="35"/>
      <c r="B97" s="96"/>
      <c r="C97" s="185" t="s">
        <v>260</v>
      </c>
      <c r="D97" s="185"/>
      <c r="E97" s="185"/>
      <c r="F97" s="185"/>
    </row>
    <row r="98" spans="1:6" s="2" customFormat="1" x14ac:dyDescent="0.25">
      <c r="A98" s="35">
        <v>424221</v>
      </c>
      <c r="B98" s="120"/>
      <c r="C98" s="27" t="s">
        <v>261</v>
      </c>
      <c r="D98" s="81" t="s">
        <v>386</v>
      </c>
      <c r="E98" s="41">
        <v>1500000</v>
      </c>
      <c r="F98" s="42"/>
    </row>
    <row r="99" spans="1:6" s="2" customFormat="1" x14ac:dyDescent="0.25">
      <c r="A99" s="35"/>
      <c r="B99" s="119"/>
      <c r="C99" s="24" t="s">
        <v>0</v>
      </c>
      <c r="D99" s="12"/>
      <c r="E99" s="28"/>
      <c r="F99" s="17">
        <f>SUM(E98:E98)</f>
        <v>1500000</v>
      </c>
    </row>
    <row r="100" spans="1:6" s="2" customFormat="1" x14ac:dyDescent="0.25">
      <c r="A100" s="35"/>
      <c r="B100" s="97"/>
      <c r="C100" s="18"/>
      <c r="D100" s="19"/>
      <c r="E100" s="25"/>
      <c r="F100" s="21"/>
    </row>
    <row r="101" spans="1:6" s="2" customFormat="1" x14ac:dyDescent="0.25">
      <c r="A101" s="35"/>
      <c r="B101" s="119">
        <v>2.8</v>
      </c>
      <c r="C101" s="39" t="s">
        <v>262</v>
      </c>
      <c r="D101" s="39"/>
      <c r="E101" s="39"/>
      <c r="F101" s="42"/>
    </row>
    <row r="102" spans="1:6" x14ac:dyDescent="0.25">
      <c r="A102" s="6">
        <v>422221</v>
      </c>
      <c r="B102" s="120"/>
      <c r="C102" s="27" t="s">
        <v>202</v>
      </c>
      <c r="D102" s="27" t="s">
        <v>203</v>
      </c>
      <c r="E102" s="42">
        <f>40000*3</f>
        <v>120000</v>
      </c>
      <c r="F102" s="162"/>
    </row>
    <row r="103" spans="1:6" x14ac:dyDescent="0.25">
      <c r="A103" s="6">
        <v>422211</v>
      </c>
      <c r="B103" s="120"/>
      <c r="C103" s="27" t="s">
        <v>15</v>
      </c>
      <c r="D103" s="27" t="s">
        <v>263</v>
      </c>
      <c r="E103" s="42">
        <f>SUM(15*4*3*120)</f>
        <v>21600</v>
      </c>
      <c r="F103" s="162"/>
    </row>
    <row r="104" spans="1:6" x14ac:dyDescent="0.25">
      <c r="B104" s="119"/>
      <c r="C104" s="24" t="s">
        <v>0</v>
      </c>
      <c r="E104" s="28"/>
      <c r="F104" s="17">
        <f>SUM(E102:E103)</f>
        <v>141600</v>
      </c>
    </row>
    <row r="105" spans="1:6" ht="15.75" customHeight="1" x14ac:dyDescent="0.25">
      <c r="B105" s="97"/>
      <c r="C105" s="18"/>
      <c r="D105" s="19"/>
      <c r="E105" s="25"/>
      <c r="F105" s="21"/>
    </row>
    <row r="106" spans="1:6" ht="19.899999999999999" customHeight="1" x14ac:dyDescent="0.25">
      <c r="A106" s="35"/>
      <c r="B106" s="8">
        <v>2.9</v>
      </c>
      <c r="C106" s="184" t="s">
        <v>25</v>
      </c>
      <c r="D106" s="184"/>
      <c r="E106" s="28"/>
      <c r="F106" s="28"/>
    </row>
    <row r="107" spans="1:6" s="90" customFormat="1" ht="47.45" customHeight="1" x14ac:dyDescent="0.25">
      <c r="A107" s="35"/>
      <c r="B107" s="97"/>
      <c r="C107" s="178" t="s">
        <v>264</v>
      </c>
      <c r="D107" s="178"/>
      <c r="E107" s="178"/>
      <c r="F107" s="178"/>
    </row>
    <row r="108" spans="1:6" s="2" customFormat="1" x14ac:dyDescent="0.25">
      <c r="A108" s="35">
        <v>422221</v>
      </c>
      <c r="B108" s="120"/>
      <c r="C108" s="27" t="s">
        <v>8</v>
      </c>
      <c r="D108" s="27" t="s">
        <v>219</v>
      </c>
      <c r="E108" s="41">
        <f>30000*3</f>
        <v>90000</v>
      </c>
      <c r="F108" s="162"/>
    </row>
    <row r="109" spans="1:6" s="90" customFormat="1" ht="19.899999999999999" customHeight="1" x14ac:dyDescent="0.25">
      <c r="A109" s="35">
        <v>422231</v>
      </c>
      <c r="B109" s="120"/>
      <c r="C109" s="27" t="s">
        <v>14</v>
      </c>
      <c r="D109" s="27" t="s">
        <v>220</v>
      </c>
      <c r="E109" s="41">
        <f>90*3*3*120</f>
        <v>97200</v>
      </c>
      <c r="F109" s="162"/>
    </row>
    <row r="110" spans="1:6" s="91" customFormat="1" ht="19.899999999999999" customHeight="1" x14ac:dyDescent="0.25">
      <c r="A110" s="35">
        <v>422211</v>
      </c>
      <c r="B110" s="120"/>
      <c r="C110" s="27" t="s">
        <v>6</v>
      </c>
      <c r="D110" s="27" t="s">
        <v>265</v>
      </c>
      <c r="E110" s="41">
        <f>15*4*5*120</f>
        <v>36000</v>
      </c>
      <c r="F110" s="162"/>
    </row>
    <row r="111" spans="1:6" s="2" customFormat="1" ht="19.899999999999999" customHeight="1" x14ac:dyDescent="0.25">
      <c r="A111" s="35">
        <v>423711</v>
      </c>
      <c r="B111" s="120"/>
      <c r="C111" s="27" t="s">
        <v>62</v>
      </c>
      <c r="D111" s="27" t="s">
        <v>192</v>
      </c>
      <c r="E111" s="41">
        <f>SUM(1000*120)</f>
        <v>120000</v>
      </c>
      <c r="F111" s="167"/>
    </row>
    <row r="112" spans="1:6" s="2" customFormat="1" ht="19.899999999999999" customHeight="1" x14ac:dyDescent="0.25">
      <c r="A112" s="35">
        <v>424221</v>
      </c>
      <c r="B112" s="121"/>
      <c r="C112" s="141" t="s">
        <v>240</v>
      </c>
      <c r="D112" s="15" t="s">
        <v>266</v>
      </c>
      <c r="E112" s="13">
        <v>1000000</v>
      </c>
      <c r="F112" s="28"/>
    </row>
    <row r="113" spans="1:6" s="2" customFormat="1" x14ac:dyDescent="0.25">
      <c r="A113" s="35">
        <v>424221</v>
      </c>
      <c r="B113" s="120"/>
      <c r="C113" s="27" t="s">
        <v>89</v>
      </c>
      <c r="D113" s="58" t="s">
        <v>201</v>
      </c>
      <c r="E113" s="41">
        <f>10000*120</f>
        <v>1200000</v>
      </c>
      <c r="F113" s="42"/>
    </row>
    <row r="114" spans="1:6" s="2" customFormat="1" ht="18" customHeight="1" x14ac:dyDescent="0.25">
      <c r="A114" s="35"/>
      <c r="B114" s="119"/>
      <c r="C114" s="47" t="s">
        <v>0</v>
      </c>
      <c r="D114" s="43"/>
      <c r="E114" s="42"/>
      <c r="F114" s="50">
        <f>SUM(E108:E113)</f>
        <v>2543200</v>
      </c>
    </row>
    <row r="115" spans="1:6" s="2" customFormat="1" ht="18" customHeight="1" x14ac:dyDescent="0.25">
      <c r="A115" s="35"/>
      <c r="B115" s="97"/>
      <c r="C115" s="18"/>
      <c r="D115" s="19"/>
      <c r="E115" s="25"/>
      <c r="F115" s="21"/>
    </row>
    <row r="116" spans="1:6" s="2" customFormat="1" ht="18" customHeight="1" x14ac:dyDescent="0.25">
      <c r="A116" s="35"/>
      <c r="B116" s="8" t="s">
        <v>133</v>
      </c>
      <c r="C116" s="39" t="s">
        <v>105</v>
      </c>
      <c r="D116" s="12"/>
      <c r="E116" s="28"/>
      <c r="F116" s="28"/>
    </row>
    <row r="117" spans="1:6" ht="41.45" customHeight="1" x14ac:dyDescent="0.25">
      <c r="B117" s="97"/>
      <c r="C117" s="180" t="s">
        <v>267</v>
      </c>
      <c r="D117" s="180"/>
      <c r="E117" s="180"/>
      <c r="F117" s="180"/>
    </row>
    <row r="118" spans="1:6" x14ac:dyDescent="0.25">
      <c r="A118" s="6">
        <v>423422</v>
      </c>
      <c r="B118" s="120"/>
      <c r="C118" s="27" t="s">
        <v>118</v>
      </c>
      <c r="D118" s="27" t="s">
        <v>268</v>
      </c>
      <c r="E118" s="41">
        <f>500*5*120</f>
        <v>300000</v>
      </c>
      <c r="F118" s="167"/>
    </row>
    <row r="119" spans="1:6" x14ac:dyDescent="0.25">
      <c r="A119" s="6">
        <v>422221</v>
      </c>
      <c r="B119" s="120"/>
      <c r="C119" s="27" t="s">
        <v>269</v>
      </c>
      <c r="D119" s="27" t="s">
        <v>270</v>
      </c>
      <c r="E119" s="41">
        <f>45000*5</f>
        <v>225000</v>
      </c>
      <c r="F119" s="162"/>
    </row>
    <row r="120" spans="1:6" ht="16.5" customHeight="1" x14ac:dyDescent="0.25">
      <c r="A120" s="6">
        <v>422231</v>
      </c>
      <c r="B120" s="120"/>
      <c r="C120" s="27" t="s">
        <v>108</v>
      </c>
      <c r="D120" s="27" t="s">
        <v>271</v>
      </c>
      <c r="E120" s="41">
        <f>250*5*3*120</f>
        <v>450000</v>
      </c>
      <c r="F120" s="162"/>
    </row>
    <row r="121" spans="1:6" s="2" customFormat="1" x14ac:dyDescent="0.25">
      <c r="A121" s="35">
        <v>424221</v>
      </c>
      <c r="B121" s="120"/>
      <c r="C121" s="141" t="s">
        <v>240</v>
      </c>
      <c r="D121" s="27" t="s">
        <v>208</v>
      </c>
      <c r="E121" s="41">
        <v>250000</v>
      </c>
      <c r="F121" s="51"/>
    </row>
    <row r="122" spans="1:6" s="2" customFormat="1" x14ac:dyDescent="0.25">
      <c r="A122" s="35">
        <v>422211</v>
      </c>
      <c r="B122" s="120"/>
      <c r="C122" s="27" t="s">
        <v>6</v>
      </c>
      <c r="D122" s="27" t="s">
        <v>272</v>
      </c>
      <c r="E122" s="41">
        <f>15*2*4*120</f>
        <v>14400</v>
      </c>
      <c r="F122" s="162"/>
    </row>
    <row r="123" spans="1:6" s="2" customFormat="1" x14ac:dyDescent="0.25">
      <c r="A123" s="35"/>
      <c r="B123" s="8"/>
      <c r="C123" s="24" t="s">
        <v>0</v>
      </c>
      <c r="D123" s="12"/>
      <c r="E123" s="28"/>
      <c r="F123" s="17">
        <f>SUM(E118:E122)</f>
        <v>1239400</v>
      </c>
    </row>
    <row r="124" spans="1:6" s="2" customFormat="1" x14ac:dyDescent="0.25">
      <c r="A124" s="35"/>
      <c r="B124" s="97"/>
      <c r="C124" s="18"/>
      <c r="D124" s="19"/>
      <c r="E124" s="25"/>
      <c r="F124" s="21"/>
    </row>
    <row r="125" spans="1:6" s="2" customFormat="1" x14ac:dyDescent="0.25">
      <c r="A125" s="35"/>
      <c r="B125" s="8">
        <v>2.11</v>
      </c>
      <c r="C125" s="110" t="s">
        <v>273</v>
      </c>
      <c r="D125" s="12"/>
      <c r="E125" s="28"/>
      <c r="F125" s="17"/>
    </row>
    <row r="126" spans="1:6" s="2" customFormat="1" ht="97.15" customHeight="1" x14ac:dyDescent="0.25">
      <c r="A126" s="35"/>
      <c r="B126" s="59"/>
      <c r="C126" s="181" t="s">
        <v>274</v>
      </c>
      <c r="D126" s="181"/>
      <c r="E126" s="181"/>
      <c r="F126" s="182"/>
    </row>
    <row r="127" spans="1:6" s="2" customFormat="1" x14ac:dyDescent="0.25">
      <c r="A127" s="35">
        <v>422221</v>
      </c>
      <c r="B127" s="8"/>
      <c r="C127" s="111" t="s">
        <v>12</v>
      </c>
      <c r="D127" s="12" t="s">
        <v>275</v>
      </c>
      <c r="E127" s="28">
        <f>10*500*120</f>
        <v>600000</v>
      </c>
      <c r="F127" s="165"/>
    </row>
    <row r="128" spans="1:6" x14ac:dyDescent="0.25">
      <c r="A128" s="6">
        <v>422231</v>
      </c>
      <c r="C128" s="111" t="s">
        <v>276</v>
      </c>
      <c r="D128" s="12" t="s">
        <v>277</v>
      </c>
      <c r="E128" s="28">
        <f>10*3*130*120</f>
        <v>468000</v>
      </c>
      <c r="F128" s="165"/>
    </row>
    <row r="129" spans="1:6" ht="18" customHeight="1" x14ac:dyDescent="0.25">
      <c r="A129" s="6">
        <v>422392</v>
      </c>
      <c r="C129" s="111" t="s">
        <v>278</v>
      </c>
      <c r="D129" s="12" t="s">
        <v>279</v>
      </c>
      <c r="E129" s="28">
        <f>400*120</f>
        <v>48000</v>
      </c>
      <c r="F129" s="165"/>
    </row>
    <row r="130" spans="1:6" s="90" customFormat="1" ht="19.149999999999999" customHeight="1" x14ac:dyDescent="0.25">
      <c r="A130" s="35">
        <v>423711</v>
      </c>
      <c r="B130" s="8"/>
      <c r="C130" s="111" t="s">
        <v>280</v>
      </c>
      <c r="D130" s="12" t="s">
        <v>281</v>
      </c>
      <c r="E130" s="28">
        <f>10*4*2*30*120</f>
        <v>288000</v>
      </c>
      <c r="F130" s="169"/>
    </row>
    <row r="131" spans="1:6" s="2" customFormat="1" x14ac:dyDescent="0.25">
      <c r="A131" s="35">
        <v>423711</v>
      </c>
      <c r="B131" s="8"/>
      <c r="C131" s="111" t="s">
        <v>282</v>
      </c>
      <c r="D131" s="12" t="s">
        <v>283</v>
      </c>
      <c r="E131" s="28">
        <v>120000</v>
      </c>
      <c r="F131" s="169"/>
    </row>
    <row r="132" spans="1:6" s="90" customFormat="1" ht="18" customHeight="1" x14ac:dyDescent="0.25">
      <c r="A132" s="35">
        <v>423599</v>
      </c>
      <c r="B132" s="8"/>
      <c r="C132" s="111" t="s">
        <v>284</v>
      </c>
      <c r="D132" s="12" t="s">
        <v>285</v>
      </c>
      <c r="E132" s="28">
        <v>240000</v>
      </c>
      <c r="F132" s="169"/>
    </row>
    <row r="133" spans="1:6" s="90" customFormat="1" ht="18.399999999999999" customHeight="1" x14ac:dyDescent="0.25">
      <c r="A133" s="35">
        <v>423599</v>
      </c>
      <c r="B133" s="8"/>
      <c r="C133" s="111" t="s">
        <v>286</v>
      </c>
      <c r="D133" s="12" t="s">
        <v>283</v>
      </c>
      <c r="E133" s="28">
        <v>120000</v>
      </c>
      <c r="F133" s="169"/>
    </row>
    <row r="134" spans="1:6" s="90" customFormat="1" ht="16.149999999999999" customHeight="1" x14ac:dyDescent="0.25">
      <c r="A134" s="35">
        <v>423711</v>
      </c>
      <c r="B134" s="8"/>
      <c r="C134" s="59" t="s">
        <v>62</v>
      </c>
      <c r="D134" s="12" t="s">
        <v>287</v>
      </c>
      <c r="E134" s="28">
        <v>60000</v>
      </c>
      <c r="F134" s="169"/>
    </row>
    <row r="135" spans="1:6" s="90" customFormat="1" x14ac:dyDescent="0.25">
      <c r="A135" s="35"/>
      <c r="B135" s="8"/>
      <c r="C135" s="112" t="s">
        <v>0</v>
      </c>
      <c r="D135" s="12"/>
      <c r="E135" s="28"/>
      <c r="F135" s="17">
        <f>SUM(E127:E134)</f>
        <v>1944000</v>
      </c>
    </row>
    <row r="136" spans="1:6" s="2" customFormat="1" x14ac:dyDescent="0.25">
      <c r="A136" s="35"/>
      <c r="B136" s="97"/>
      <c r="C136" s="18"/>
      <c r="D136" s="19"/>
      <c r="E136" s="25"/>
      <c r="F136" s="21"/>
    </row>
    <row r="137" spans="1:6" s="2" customFormat="1" x14ac:dyDescent="0.25">
      <c r="A137" s="35"/>
      <c r="B137" s="8">
        <v>2.12</v>
      </c>
      <c r="C137" s="39" t="s">
        <v>96</v>
      </c>
      <c r="D137" s="39"/>
      <c r="E137" s="28"/>
      <c r="F137" s="29"/>
    </row>
    <row r="138" spans="1:6" ht="82.15" customHeight="1" x14ac:dyDescent="0.25">
      <c r="B138" s="97"/>
      <c r="C138" s="178" t="s">
        <v>289</v>
      </c>
      <c r="D138" s="178"/>
      <c r="E138" s="178"/>
      <c r="F138" s="183"/>
    </row>
    <row r="139" spans="1:6" s="2" customFormat="1" ht="21" customHeight="1" x14ac:dyDescent="0.25">
      <c r="A139" s="35">
        <v>424221</v>
      </c>
      <c r="B139" s="120"/>
      <c r="C139" s="59" t="s">
        <v>160</v>
      </c>
      <c r="D139" s="27" t="s">
        <v>290</v>
      </c>
      <c r="E139" s="42">
        <f>SUM(40000*120)</f>
        <v>4800000</v>
      </c>
      <c r="F139" s="42"/>
    </row>
    <row r="140" spans="1:6" ht="19.5" customHeight="1" x14ac:dyDescent="0.25">
      <c r="A140" s="6">
        <v>422221</v>
      </c>
      <c r="B140" s="120"/>
      <c r="C140" s="59" t="s">
        <v>229</v>
      </c>
      <c r="D140" s="15" t="s">
        <v>291</v>
      </c>
      <c r="E140" s="28">
        <v>80000</v>
      </c>
      <c r="F140" s="162"/>
    </row>
    <row r="141" spans="1:6" s="2" customFormat="1" x14ac:dyDescent="0.25">
      <c r="A141" s="35"/>
      <c r="B141" s="8"/>
      <c r="C141" s="24" t="s">
        <v>0</v>
      </c>
      <c r="D141" s="12"/>
      <c r="E141" s="28"/>
      <c r="F141" s="17">
        <f>SUM(E139:E140)</f>
        <v>4880000</v>
      </c>
    </row>
    <row r="142" spans="1:6" s="2" customFormat="1" x14ac:dyDescent="0.25">
      <c r="A142" s="35"/>
      <c r="B142" s="97"/>
      <c r="C142" s="18"/>
      <c r="D142" s="19"/>
      <c r="E142" s="25"/>
      <c r="F142" s="21"/>
    </row>
    <row r="143" spans="1:6" x14ac:dyDescent="0.25">
      <c r="B143" s="8">
        <v>2.13</v>
      </c>
      <c r="C143" s="184" t="s">
        <v>120</v>
      </c>
      <c r="D143" s="184"/>
      <c r="E143" s="28"/>
      <c r="F143" s="28"/>
    </row>
    <row r="144" spans="1:6" ht="34.9" customHeight="1" x14ac:dyDescent="0.25">
      <c r="B144" s="97"/>
      <c r="C144" s="176" t="s">
        <v>7</v>
      </c>
      <c r="D144" s="176"/>
      <c r="E144" s="176"/>
      <c r="F144" s="177"/>
    </row>
    <row r="145" spans="1:6" ht="18" customHeight="1" x14ac:dyDescent="0.25">
      <c r="A145" s="6">
        <v>424221</v>
      </c>
      <c r="B145" s="120"/>
      <c r="C145" s="74" t="s">
        <v>11</v>
      </c>
      <c r="D145" s="28" t="s">
        <v>241</v>
      </c>
      <c r="E145" s="28">
        <f>3000*120</f>
        <v>360000</v>
      </c>
      <c r="F145" s="114"/>
    </row>
    <row r="146" spans="1:6" s="2" customFormat="1" x14ac:dyDescent="0.25">
      <c r="A146" s="35">
        <v>424221</v>
      </c>
      <c r="B146" s="120"/>
      <c r="C146" s="74" t="s">
        <v>193</v>
      </c>
      <c r="D146" s="28" t="s">
        <v>295</v>
      </c>
      <c r="E146" s="28">
        <f>SUM(800*120)</f>
        <v>96000</v>
      </c>
      <c r="F146" s="114"/>
    </row>
    <row r="147" spans="1:6" s="2" customFormat="1" x14ac:dyDescent="0.25">
      <c r="A147" s="35">
        <v>422221</v>
      </c>
      <c r="B147" s="120"/>
      <c r="C147" s="27" t="s">
        <v>292</v>
      </c>
      <c r="D147" s="27" t="s">
        <v>293</v>
      </c>
      <c r="E147" s="41">
        <v>50000</v>
      </c>
      <c r="F147" s="164"/>
    </row>
    <row r="148" spans="1:6" x14ac:dyDescent="0.25">
      <c r="A148" s="6">
        <v>422231</v>
      </c>
      <c r="B148" s="120"/>
      <c r="C148" s="27" t="s">
        <v>294</v>
      </c>
      <c r="D148" s="28" t="s">
        <v>296</v>
      </c>
      <c r="E148" s="28">
        <f>SUM(125*2*120)</f>
        <v>30000</v>
      </c>
      <c r="F148" s="164"/>
    </row>
    <row r="149" spans="1:6" x14ac:dyDescent="0.25">
      <c r="A149" s="6">
        <v>422211</v>
      </c>
      <c r="B149" s="120"/>
      <c r="C149" s="27" t="s">
        <v>115</v>
      </c>
      <c r="D149" s="28" t="s">
        <v>297</v>
      </c>
      <c r="E149" s="28">
        <f>SUM(15*2*120)</f>
        <v>3600</v>
      </c>
      <c r="F149" s="164"/>
    </row>
    <row r="150" spans="1:6" x14ac:dyDescent="0.25">
      <c r="C150" s="24" t="s">
        <v>0</v>
      </c>
      <c r="E150" s="28"/>
      <c r="F150" s="17">
        <f>SUM(E145:E149)</f>
        <v>539600</v>
      </c>
    </row>
    <row r="151" spans="1:6" ht="17.25" customHeight="1" x14ac:dyDescent="0.25">
      <c r="B151" s="97"/>
      <c r="C151" s="18"/>
      <c r="D151" s="19"/>
      <c r="E151" s="25"/>
      <c r="F151" s="21"/>
    </row>
    <row r="152" spans="1:6" s="2" customFormat="1" x14ac:dyDescent="0.25">
      <c r="A152" s="35"/>
      <c r="B152" s="8">
        <v>2.14</v>
      </c>
      <c r="C152" s="31" t="s">
        <v>176</v>
      </c>
      <c r="D152" s="32"/>
      <c r="E152" s="13"/>
      <c r="F152" s="17"/>
    </row>
    <row r="153" spans="1:6" s="2" customFormat="1" x14ac:dyDescent="0.25">
      <c r="A153" s="35"/>
      <c r="B153" s="97"/>
      <c r="C153" s="178" t="s">
        <v>194</v>
      </c>
      <c r="D153" s="178"/>
      <c r="E153" s="178"/>
      <c r="F153" s="178"/>
    </row>
    <row r="154" spans="1:6" s="2" customFormat="1" x14ac:dyDescent="0.25">
      <c r="A154" s="35">
        <v>424221</v>
      </c>
      <c r="B154" s="120"/>
      <c r="C154" s="74" t="s">
        <v>9</v>
      </c>
      <c r="D154" s="60" t="s">
        <v>248</v>
      </c>
      <c r="E154" s="41">
        <v>60000</v>
      </c>
      <c r="F154" s="114"/>
    </row>
    <row r="155" spans="1:6" s="2" customFormat="1" x14ac:dyDescent="0.25">
      <c r="A155" s="35"/>
      <c r="B155" s="8"/>
      <c r="C155" s="30" t="s">
        <v>0</v>
      </c>
      <c r="D155" s="24"/>
      <c r="E155" s="28"/>
      <c r="F155" s="29">
        <f>E154</f>
        <v>60000</v>
      </c>
    </row>
    <row r="156" spans="1:6" s="2" customFormat="1" x14ac:dyDescent="0.25">
      <c r="A156" s="35"/>
      <c r="B156" s="97"/>
      <c r="C156" s="18"/>
      <c r="D156" s="19"/>
      <c r="E156" s="25"/>
      <c r="F156" s="21"/>
    </row>
    <row r="157" spans="1:6" x14ac:dyDescent="0.25">
      <c r="B157" s="8">
        <v>2.15</v>
      </c>
      <c r="C157" s="31" t="s">
        <v>107</v>
      </c>
      <c r="D157" s="32"/>
      <c r="E157" s="13"/>
      <c r="F157" s="17"/>
    </row>
    <row r="158" spans="1:6" x14ac:dyDescent="0.25">
      <c r="B158" s="97"/>
      <c r="C158" s="178" t="s">
        <v>10</v>
      </c>
      <c r="D158" s="178"/>
      <c r="E158" s="178"/>
      <c r="F158" s="179"/>
    </row>
    <row r="159" spans="1:6" x14ac:dyDescent="0.25">
      <c r="A159" s="6">
        <v>424221</v>
      </c>
      <c r="B159" s="120"/>
      <c r="C159" s="74" t="s">
        <v>9</v>
      </c>
      <c r="D159" s="60" t="s">
        <v>288</v>
      </c>
      <c r="E159" s="41">
        <f>5000*120</f>
        <v>600000</v>
      </c>
      <c r="F159" s="114"/>
    </row>
    <row r="160" spans="1:6" ht="16.5" customHeight="1" x14ac:dyDescent="0.25">
      <c r="C160" s="30" t="s">
        <v>0</v>
      </c>
      <c r="D160" s="24"/>
      <c r="E160" s="28"/>
      <c r="F160" s="29">
        <f>E159</f>
        <v>600000</v>
      </c>
    </row>
    <row r="161" spans="1:6" s="2" customFormat="1" ht="17.649999999999999" customHeight="1" x14ac:dyDescent="0.25">
      <c r="A161" s="35"/>
      <c r="B161" s="97"/>
      <c r="C161" s="18"/>
      <c r="D161" s="19"/>
      <c r="E161" s="25"/>
      <c r="F161" s="21"/>
    </row>
    <row r="162" spans="1:6" s="2" customFormat="1" ht="18.399999999999999" customHeight="1" x14ac:dyDescent="0.25">
      <c r="A162" s="35"/>
      <c r="B162" s="8">
        <v>2.16</v>
      </c>
      <c r="C162" s="31" t="s">
        <v>161</v>
      </c>
      <c r="D162" s="32"/>
      <c r="E162" s="13"/>
      <c r="F162" s="17"/>
    </row>
    <row r="163" spans="1:6" s="2" customFormat="1" x14ac:dyDescent="0.25">
      <c r="A163" s="35"/>
      <c r="B163" s="97"/>
      <c r="C163" s="178" t="s">
        <v>162</v>
      </c>
      <c r="D163" s="178"/>
      <c r="E163" s="178"/>
      <c r="F163" s="179"/>
    </row>
    <row r="164" spans="1:6" x14ac:dyDescent="0.25">
      <c r="A164" s="6">
        <v>424221</v>
      </c>
      <c r="B164" s="120"/>
      <c r="C164" s="74" t="s">
        <v>9</v>
      </c>
      <c r="D164" s="60" t="s">
        <v>288</v>
      </c>
      <c r="E164" s="41">
        <f>5000*120</f>
        <v>600000</v>
      </c>
      <c r="F164" s="114"/>
    </row>
    <row r="165" spans="1:6" x14ac:dyDescent="0.25">
      <c r="A165" s="4"/>
      <c r="C165" s="30" t="s">
        <v>0</v>
      </c>
      <c r="D165" s="24"/>
      <c r="E165" s="28"/>
      <c r="F165" s="29">
        <f>E164</f>
        <v>600000</v>
      </c>
    </row>
    <row r="166" spans="1:6" x14ac:dyDescent="0.25">
      <c r="A166" s="4"/>
      <c r="B166" s="97"/>
      <c r="C166" s="18"/>
      <c r="D166" s="19"/>
      <c r="E166" s="25"/>
      <c r="F166" s="21"/>
    </row>
    <row r="167" spans="1:6" s="2" customFormat="1" x14ac:dyDescent="0.25">
      <c r="A167" s="35"/>
      <c r="B167" s="102"/>
      <c r="C167" s="115"/>
      <c r="D167" s="22" t="s">
        <v>22</v>
      </c>
      <c r="E167" s="71"/>
      <c r="F167" s="70">
        <f>+F40+F51+F61+F74+F89+F94+F99+F104+F114+F123+F135+F141+F150+F155+F160+F165</f>
        <v>42067000</v>
      </c>
    </row>
    <row r="168" spans="1:6" x14ac:dyDescent="0.25">
      <c r="B168" s="8">
        <v>3</v>
      </c>
      <c r="C168" s="23" t="s">
        <v>119</v>
      </c>
      <c r="E168" s="28"/>
      <c r="F168" s="28"/>
    </row>
    <row r="169" spans="1:6" x14ac:dyDescent="0.25">
      <c r="C169" s="23"/>
      <c r="E169" s="28"/>
      <c r="F169" s="28"/>
    </row>
    <row r="170" spans="1:6" x14ac:dyDescent="0.25">
      <c r="B170" s="8" t="s">
        <v>134</v>
      </c>
      <c r="C170" s="39" t="s">
        <v>106</v>
      </c>
      <c r="E170" s="28"/>
      <c r="F170" s="28"/>
    </row>
    <row r="171" spans="1:6" ht="43.15" customHeight="1" x14ac:dyDescent="0.25">
      <c r="B171" s="118"/>
      <c r="C171" s="199" t="s">
        <v>338</v>
      </c>
      <c r="D171" s="199"/>
      <c r="E171" s="199"/>
      <c r="F171" s="199"/>
    </row>
    <row r="172" spans="1:6" ht="18" customHeight="1" x14ac:dyDescent="0.25">
      <c r="A172" s="6">
        <v>424221</v>
      </c>
      <c r="B172" s="121"/>
      <c r="C172" s="15" t="s">
        <v>214</v>
      </c>
      <c r="E172" s="13">
        <v>1000000</v>
      </c>
      <c r="F172" s="28"/>
    </row>
    <row r="173" spans="1:6" x14ac:dyDescent="0.25">
      <c r="C173" s="30" t="s">
        <v>0</v>
      </c>
      <c r="E173" s="28"/>
      <c r="F173" s="29">
        <f>E172</f>
        <v>1000000</v>
      </c>
    </row>
    <row r="174" spans="1:6" x14ac:dyDescent="0.25">
      <c r="B174" s="118"/>
      <c r="C174" s="18"/>
      <c r="D174" s="19"/>
      <c r="E174" s="25"/>
      <c r="F174" s="21"/>
    </row>
    <row r="175" spans="1:6" s="2" customFormat="1" x14ac:dyDescent="0.25">
      <c r="A175" s="6"/>
      <c r="B175" s="119" t="s">
        <v>135</v>
      </c>
      <c r="C175" s="33" t="s">
        <v>109</v>
      </c>
      <c r="D175" s="34"/>
      <c r="E175" s="73"/>
      <c r="F175" s="73"/>
    </row>
    <row r="176" spans="1:6" s="3" customFormat="1" ht="18" customHeight="1" x14ac:dyDescent="0.25">
      <c r="A176" s="6"/>
      <c r="B176" s="10"/>
      <c r="C176" s="185" t="s">
        <v>339</v>
      </c>
      <c r="D176" s="185"/>
      <c r="E176" s="185"/>
      <c r="F176" s="185"/>
    </row>
    <row r="177" spans="1:6" s="2" customFormat="1" ht="15.75" customHeight="1" x14ac:dyDescent="0.25">
      <c r="A177" s="35">
        <v>424221</v>
      </c>
      <c r="B177" s="120"/>
      <c r="C177" s="197" t="s">
        <v>340</v>
      </c>
      <c r="D177" s="198"/>
      <c r="E177" s="41">
        <v>500000</v>
      </c>
      <c r="F177" s="81"/>
    </row>
    <row r="178" spans="1:6" s="2" customFormat="1" x14ac:dyDescent="0.25">
      <c r="A178" s="35">
        <v>421626</v>
      </c>
      <c r="B178" s="119"/>
      <c r="C178" s="74" t="s">
        <v>110</v>
      </c>
      <c r="D178" s="74"/>
      <c r="E178" s="41">
        <v>500000</v>
      </c>
      <c r="F178" s="59"/>
    </row>
    <row r="179" spans="1:6" s="2" customFormat="1" x14ac:dyDescent="0.25">
      <c r="A179" s="6"/>
      <c r="B179" s="119"/>
      <c r="C179" s="30" t="s">
        <v>0</v>
      </c>
      <c r="D179" s="6"/>
      <c r="E179" s="64"/>
      <c r="F179" s="29">
        <f>SUM(E177:E178)</f>
        <v>1000000</v>
      </c>
    </row>
    <row r="180" spans="1:6" s="2" customFormat="1" x14ac:dyDescent="0.25">
      <c r="A180" s="6"/>
      <c r="B180" s="10"/>
      <c r="C180" s="54"/>
      <c r="D180" s="54"/>
      <c r="E180" s="63"/>
      <c r="F180" s="63"/>
    </row>
    <row r="181" spans="1:6" s="2" customFormat="1" x14ac:dyDescent="0.25">
      <c r="A181" s="6"/>
      <c r="B181" s="119" t="s">
        <v>136</v>
      </c>
      <c r="C181" s="33" t="s">
        <v>224</v>
      </c>
      <c r="D181" s="34"/>
      <c r="E181" s="73"/>
      <c r="F181" s="73"/>
    </row>
    <row r="182" spans="1:6" s="2" customFormat="1" ht="39.4" customHeight="1" x14ac:dyDescent="0.25">
      <c r="A182" s="6"/>
      <c r="B182" s="118"/>
      <c r="C182" s="185" t="s">
        <v>341</v>
      </c>
      <c r="D182" s="185"/>
      <c r="E182" s="185"/>
      <c r="F182" s="185"/>
    </row>
    <row r="183" spans="1:6" s="2" customFormat="1" x14ac:dyDescent="0.25">
      <c r="A183" s="35">
        <v>424221</v>
      </c>
      <c r="B183" s="120"/>
      <c r="C183" s="74" t="s">
        <v>111</v>
      </c>
      <c r="D183" s="74"/>
      <c r="E183" s="41">
        <v>1000000</v>
      </c>
      <c r="F183" s="82"/>
    </row>
    <row r="184" spans="1:6" s="2" customFormat="1" x14ac:dyDescent="0.25">
      <c r="A184" s="6"/>
      <c r="B184" s="119"/>
      <c r="C184" s="30" t="s">
        <v>0</v>
      </c>
      <c r="D184" s="6"/>
      <c r="E184" s="64"/>
      <c r="F184" s="29">
        <f>SUM(E183:E183)</f>
        <v>1000000</v>
      </c>
    </row>
    <row r="185" spans="1:6" s="2" customFormat="1" x14ac:dyDescent="0.25">
      <c r="A185" s="6"/>
      <c r="B185" s="118"/>
      <c r="C185" s="196"/>
      <c r="D185" s="196"/>
      <c r="E185" s="196"/>
      <c r="F185" s="196"/>
    </row>
    <row r="186" spans="1:6" s="2" customFormat="1" x14ac:dyDescent="0.25">
      <c r="A186" s="35"/>
      <c r="B186" s="119" t="s">
        <v>137</v>
      </c>
      <c r="C186" s="31" t="s">
        <v>124</v>
      </c>
      <c r="D186" s="6"/>
      <c r="E186" s="64"/>
      <c r="F186" s="29"/>
    </row>
    <row r="187" spans="1:6" s="2" customFormat="1" ht="35.65" customHeight="1" x14ac:dyDescent="0.25">
      <c r="A187" s="35"/>
      <c r="B187" s="118"/>
      <c r="C187" s="185" t="s">
        <v>342</v>
      </c>
      <c r="D187" s="185"/>
      <c r="E187" s="185"/>
      <c r="F187" s="185"/>
    </row>
    <row r="188" spans="1:6" s="2" customFormat="1" ht="18.600000000000001" customHeight="1" x14ac:dyDescent="0.25">
      <c r="A188" s="35">
        <v>424221</v>
      </c>
      <c r="B188" s="120"/>
      <c r="C188" s="74" t="s">
        <v>163</v>
      </c>
      <c r="D188" s="35"/>
      <c r="E188" s="53">
        <v>300000</v>
      </c>
      <c r="F188" s="42"/>
    </row>
    <row r="189" spans="1:6" s="2" customFormat="1" x14ac:dyDescent="0.25">
      <c r="A189" s="35">
        <v>424221</v>
      </c>
      <c r="B189" s="120"/>
      <c r="C189" s="74" t="s">
        <v>164</v>
      </c>
      <c r="D189" s="35"/>
      <c r="E189" s="53">
        <v>200000</v>
      </c>
      <c r="F189" s="42"/>
    </row>
    <row r="190" spans="1:6" s="2" customFormat="1" x14ac:dyDescent="0.25">
      <c r="A190" s="35">
        <v>424221</v>
      </c>
      <c r="B190" s="120"/>
      <c r="C190" s="74" t="s">
        <v>343</v>
      </c>
      <c r="D190" s="35"/>
      <c r="E190" s="53">
        <f>200000+300000</f>
        <v>500000</v>
      </c>
      <c r="F190" s="42"/>
    </row>
    <row r="191" spans="1:6" s="2" customFormat="1" x14ac:dyDescent="0.25">
      <c r="A191" s="35"/>
      <c r="B191" s="119"/>
      <c r="C191" s="30" t="s">
        <v>0</v>
      </c>
      <c r="D191" s="6"/>
      <c r="E191" s="64"/>
      <c r="F191" s="29">
        <f>SUM(E188:E190)</f>
        <v>1000000</v>
      </c>
    </row>
    <row r="192" spans="1:6" s="2" customFormat="1" x14ac:dyDescent="0.25">
      <c r="A192" s="35"/>
      <c r="B192" s="118"/>
      <c r="C192" s="196"/>
      <c r="D192" s="196"/>
      <c r="E192" s="196"/>
      <c r="F192" s="196"/>
    </row>
    <row r="193" spans="1:6" x14ac:dyDescent="0.25">
      <c r="A193" s="35"/>
      <c r="B193" s="8" t="s">
        <v>138</v>
      </c>
      <c r="C193" s="39" t="s">
        <v>168</v>
      </c>
      <c r="D193" s="39"/>
      <c r="E193" s="28"/>
      <c r="F193" s="29"/>
    </row>
    <row r="194" spans="1:6" ht="37.15" customHeight="1" x14ac:dyDescent="0.25">
      <c r="A194" s="35"/>
      <c r="B194" s="118"/>
      <c r="C194" s="200" t="s">
        <v>344</v>
      </c>
      <c r="D194" s="200"/>
      <c r="E194" s="200"/>
      <c r="F194" s="201"/>
    </row>
    <row r="195" spans="1:6" s="2" customFormat="1" x14ac:dyDescent="0.25">
      <c r="A195" s="35">
        <v>424221</v>
      </c>
      <c r="B195" s="120"/>
      <c r="C195" s="111" t="s">
        <v>94</v>
      </c>
      <c r="D195" s="15" t="s">
        <v>167</v>
      </c>
      <c r="E195" s="28">
        <v>120000</v>
      </c>
      <c r="F195" s="28"/>
    </row>
    <row r="196" spans="1:6" s="2" customFormat="1" x14ac:dyDescent="0.25">
      <c r="A196" s="35"/>
      <c r="B196" s="119"/>
      <c r="C196" s="116" t="s">
        <v>0</v>
      </c>
      <c r="D196" s="127"/>
      <c r="E196" s="28"/>
      <c r="F196" s="128">
        <f>SUM(E195:E195)</f>
        <v>120000</v>
      </c>
    </row>
    <row r="197" spans="1:6" s="2" customFormat="1" x14ac:dyDescent="0.25">
      <c r="A197" s="35"/>
      <c r="B197" s="196"/>
      <c r="C197" s="196"/>
      <c r="D197" s="196"/>
      <c r="E197" s="196"/>
      <c r="F197" s="54"/>
    </row>
    <row r="198" spans="1:6" x14ac:dyDescent="0.25">
      <c r="A198" s="35"/>
      <c r="B198" s="8" t="s">
        <v>139</v>
      </c>
      <c r="C198" s="39" t="s">
        <v>103</v>
      </c>
      <c r="D198" s="39"/>
      <c r="E198" s="28"/>
      <c r="F198" s="29"/>
    </row>
    <row r="199" spans="1:6" ht="64.900000000000006" customHeight="1" x14ac:dyDescent="0.25">
      <c r="A199" s="35"/>
      <c r="B199" s="118"/>
      <c r="C199" s="200" t="s">
        <v>93</v>
      </c>
      <c r="D199" s="200"/>
      <c r="E199" s="200"/>
      <c r="F199" s="201"/>
    </row>
    <row r="200" spans="1:6" s="2" customFormat="1" x14ac:dyDescent="0.25">
      <c r="A200" s="35">
        <v>424221</v>
      </c>
      <c r="B200" s="120"/>
      <c r="C200" s="111" t="s">
        <v>94</v>
      </c>
      <c r="D200" s="15" t="s">
        <v>167</v>
      </c>
      <c r="E200" s="28">
        <v>120000</v>
      </c>
      <c r="F200" s="28"/>
    </row>
    <row r="201" spans="1:6" s="2" customFormat="1" x14ac:dyDescent="0.25">
      <c r="A201" s="35">
        <v>423599</v>
      </c>
      <c r="B201" s="120"/>
      <c r="C201" s="6" t="s">
        <v>95</v>
      </c>
      <c r="D201" s="127" t="s">
        <v>147</v>
      </c>
      <c r="E201" s="28">
        <v>30000</v>
      </c>
      <c r="F201" s="168"/>
    </row>
    <row r="202" spans="1:6" x14ac:dyDescent="0.25">
      <c r="A202" s="35"/>
      <c r="C202" s="24" t="s">
        <v>0</v>
      </c>
      <c r="E202" s="28"/>
      <c r="F202" s="17">
        <f>SUM(E200:E201)</f>
        <v>150000</v>
      </c>
    </row>
    <row r="203" spans="1:6" s="2" customFormat="1" x14ac:dyDescent="0.25">
      <c r="A203" s="35"/>
      <c r="B203" s="196"/>
      <c r="C203" s="196"/>
      <c r="D203" s="196"/>
      <c r="E203" s="196"/>
      <c r="F203" s="54"/>
    </row>
    <row r="204" spans="1:6" x14ac:dyDescent="0.25">
      <c r="A204" s="35"/>
      <c r="B204" s="8" t="s">
        <v>140</v>
      </c>
      <c r="C204" s="39" t="s">
        <v>104</v>
      </c>
      <c r="D204" s="39"/>
      <c r="E204" s="15"/>
      <c r="F204" s="15"/>
    </row>
    <row r="205" spans="1:6" ht="34.9" customHeight="1" x14ac:dyDescent="0.25">
      <c r="A205" s="35"/>
      <c r="B205" s="118"/>
      <c r="C205" s="200" t="s">
        <v>345</v>
      </c>
      <c r="D205" s="200"/>
      <c r="E205" s="200"/>
      <c r="F205" s="204"/>
    </row>
    <row r="206" spans="1:6" s="2" customFormat="1" x14ac:dyDescent="0.25">
      <c r="A206" s="35">
        <v>424221</v>
      </c>
      <c r="B206" s="120"/>
      <c r="C206" s="15" t="s">
        <v>92</v>
      </c>
      <c r="D206" s="15"/>
      <c r="E206" s="28">
        <v>150000</v>
      </c>
      <c r="F206" s="28"/>
    </row>
    <row r="207" spans="1:6" x14ac:dyDescent="0.25">
      <c r="A207" s="35"/>
      <c r="C207" s="24" t="s">
        <v>0</v>
      </c>
      <c r="E207" s="15"/>
      <c r="F207" s="17">
        <f>SUM(E206:E206)</f>
        <v>150000</v>
      </c>
    </row>
    <row r="208" spans="1:6" x14ac:dyDescent="0.25">
      <c r="B208" s="118"/>
      <c r="C208" s="18"/>
      <c r="D208" s="19"/>
      <c r="E208" s="25"/>
      <c r="F208" s="21"/>
    </row>
    <row r="209" spans="1:6" x14ac:dyDescent="0.25">
      <c r="A209" s="35"/>
      <c r="B209" s="8" t="s">
        <v>141</v>
      </c>
      <c r="C209" s="39" t="s">
        <v>346</v>
      </c>
      <c r="D209" s="39"/>
      <c r="E209" s="15"/>
      <c r="F209" s="15"/>
    </row>
    <row r="210" spans="1:6" ht="47.25" customHeight="1" x14ac:dyDescent="0.25">
      <c r="A210" s="35"/>
      <c r="B210" s="118"/>
      <c r="C210" s="200" t="s">
        <v>347</v>
      </c>
      <c r="D210" s="200"/>
      <c r="E210" s="200"/>
      <c r="F210" s="204"/>
    </row>
    <row r="211" spans="1:6" s="173" customFormat="1" x14ac:dyDescent="0.25">
      <c r="A211" s="44">
        <v>424221</v>
      </c>
      <c r="B211" s="120"/>
      <c r="C211" s="44" t="s">
        <v>348</v>
      </c>
      <c r="D211" s="27"/>
      <c r="E211" s="42">
        <f>12000000-5000000</f>
        <v>7000000</v>
      </c>
      <c r="F211" s="48"/>
    </row>
    <row r="212" spans="1:6" s="78" customFormat="1" x14ac:dyDescent="0.25">
      <c r="A212" s="87"/>
      <c r="B212" s="123"/>
      <c r="C212" s="88" t="s">
        <v>0</v>
      </c>
      <c r="D212" s="89"/>
      <c r="E212" s="89"/>
      <c r="F212" s="17">
        <f>SUM(E211:E211)</f>
        <v>7000000</v>
      </c>
    </row>
    <row r="213" spans="1:6" s="78" customFormat="1" x14ac:dyDescent="0.25">
      <c r="A213" s="87"/>
      <c r="B213" s="118"/>
      <c r="C213" s="18"/>
      <c r="D213" s="19"/>
      <c r="E213" s="25"/>
      <c r="F213" s="21"/>
    </row>
    <row r="214" spans="1:6" s="78" customFormat="1" x14ac:dyDescent="0.25">
      <c r="A214" s="62"/>
      <c r="B214" s="8" t="s">
        <v>142</v>
      </c>
      <c r="C214" s="39" t="s">
        <v>349</v>
      </c>
      <c r="D214" s="39"/>
      <c r="E214" s="28"/>
      <c r="F214" s="29"/>
    </row>
    <row r="215" spans="1:6" s="78" customFormat="1" ht="80.45" customHeight="1" x14ac:dyDescent="0.25">
      <c r="A215" s="62"/>
      <c r="B215" s="118"/>
      <c r="C215" s="208" t="s">
        <v>350</v>
      </c>
      <c r="D215" s="208"/>
      <c r="E215" s="208"/>
      <c r="F215" s="209"/>
    </row>
    <row r="216" spans="1:6" s="92" customFormat="1" x14ac:dyDescent="0.25">
      <c r="A216" s="44">
        <v>424221</v>
      </c>
      <c r="B216" s="120"/>
      <c r="C216" s="59" t="s">
        <v>165</v>
      </c>
      <c r="D216" s="27"/>
      <c r="E216" s="42">
        <f>7000000+1000000-3000000</f>
        <v>5000000</v>
      </c>
      <c r="F216" s="41"/>
    </row>
    <row r="217" spans="1:6" s="52" customFormat="1" x14ac:dyDescent="0.25">
      <c r="A217" s="35"/>
      <c r="B217" s="119"/>
      <c r="C217" s="47" t="s">
        <v>0</v>
      </c>
      <c r="D217" s="43"/>
      <c r="E217" s="42"/>
      <c r="F217" s="50">
        <f>+E216</f>
        <v>5000000</v>
      </c>
    </row>
    <row r="218" spans="1:6" x14ac:dyDescent="0.25">
      <c r="B218" s="118"/>
      <c r="C218" s="18"/>
      <c r="D218" s="19"/>
      <c r="E218" s="25"/>
      <c r="F218" s="21"/>
    </row>
    <row r="219" spans="1:6" ht="21" customHeight="1" x14ac:dyDescent="0.25">
      <c r="B219" s="49" t="s">
        <v>169</v>
      </c>
      <c r="C219" s="49" t="s">
        <v>351</v>
      </c>
      <c r="D219" s="55"/>
      <c r="E219" s="42"/>
      <c r="F219" s="48"/>
    </row>
    <row r="220" spans="1:6" ht="24" customHeight="1" x14ac:dyDescent="0.25">
      <c r="B220" s="118"/>
      <c r="C220" s="206" t="s">
        <v>204</v>
      </c>
      <c r="D220" s="207"/>
      <c r="E220" s="207"/>
      <c r="F220" s="207"/>
    </row>
    <row r="221" spans="1:6" s="2" customFormat="1" x14ac:dyDescent="0.25">
      <c r="A221" s="35">
        <v>424221</v>
      </c>
      <c r="B221" s="59"/>
      <c r="C221" s="59" t="s">
        <v>165</v>
      </c>
      <c r="D221" s="27"/>
      <c r="E221" s="42">
        <f>8000000-7000000</f>
        <v>1000000</v>
      </c>
      <c r="F221" s="42"/>
    </row>
    <row r="222" spans="1:6" x14ac:dyDescent="0.25">
      <c r="A222" s="35"/>
      <c r="B222" s="49"/>
      <c r="D222" s="55" t="s">
        <v>166</v>
      </c>
      <c r="E222" s="42"/>
      <c r="F222" s="48">
        <f>SUM(E221:E221)</f>
        <v>1000000</v>
      </c>
    </row>
    <row r="223" spans="1:6" x14ac:dyDescent="0.25">
      <c r="A223" s="35"/>
      <c r="B223" s="118"/>
      <c r="C223" s="18"/>
      <c r="D223" s="19"/>
      <c r="E223" s="25"/>
      <c r="F223" s="21"/>
    </row>
    <row r="224" spans="1:6" s="2" customFormat="1" x14ac:dyDescent="0.25">
      <c r="A224" s="35"/>
      <c r="B224" s="49" t="s">
        <v>175</v>
      </c>
      <c r="C224" s="49" t="s">
        <v>352</v>
      </c>
      <c r="D224" s="55"/>
      <c r="E224" s="53"/>
      <c r="F224" s="48"/>
    </row>
    <row r="225" spans="1:6" ht="51" customHeight="1" x14ac:dyDescent="0.25">
      <c r="A225" s="35"/>
      <c r="B225" s="118"/>
      <c r="C225" s="206" t="s">
        <v>353</v>
      </c>
      <c r="D225" s="212"/>
      <c r="E225" s="212"/>
      <c r="F225" s="212"/>
    </row>
    <row r="226" spans="1:6" s="90" customFormat="1" ht="19.149999999999999" customHeight="1" x14ac:dyDescent="0.25">
      <c r="A226" s="35">
        <v>424221</v>
      </c>
      <c r="B226" s="59"/>
      <c r="C226" s="59" t="s">
        <v>165</v>
      </c>
      <c r="D226" s="27"/>
      <c r="E226" s="42">
        <v>800000</v>
      </c>
      <c r="F226" s="42"/>
    </row>
    <row r="227" spans="1:6" s="2" customFormat="1" x14ac:dyDescent="0.25">
      <c r="A227" s="35"/>
      <c r="B227" s="49"/>
      <c r="C227" s="6"/>
      <c r="D227" s="55" t="s">
        <v>166</v>
      </c>
      <c r="E227" s="42"/>
      <c r="F227" s="48">
        <f>SUM(E226:E226)</f>
        <v>800000</v>
      </c>
    </row>
    <row r="228" spans="1:6" x14ac:dyDescent="0.25">
      <c r="A228" s="35"/>
      <c r="B228" s="118"/>
      <c r="C228" s="18"/>
      <c r="D228" s="19"/>
      <c r="E228" s="20"/>
      <c r="F228" s="21"/>
    </row>
    <row r="229" spans="1:6" x14ac:dyDescent="0.25">
      <c r="C229" s="26"/>
      <c r="D229" s="36" t="s">
        <v>122</v>
      </c>
      <c r="E229" s="37"/>
      <c r="F229" s="38">
        <f>F173+F179+F184+F191+F196+F202+F207+F212+F217+F222+F227</f>
        <v>18220000</v>
      </c>
    </row>
    <row r="230" spans="1:6" ht="21" customHeight="1" x14ac:dyDescent="0.25">
      <c r="A230" s="4"/>
      <c r="B230" s="49">
        <v>4</v>
      </c>
      <c r="C230" s="49" t="s">
        <v>206</v>
      </c>
      <c r="D230" s="55"/>
      <c r="E230" s="42"/>
      <c r="F230" s="48"/>
    </row>
    <row r="231" spans="1:6" ht="266.45" customHeight="1" x14ac:dyDescent="0.25">
      <c r="B231" s="118"/>
      <c r="C231" s="206" t="s">
        <v>298</v>
      </c>
      <c r="D231" s="207"/>
      <c r="E231" s="207"/>
      <c r="F231" s="207"/>
    </row>
    <row r="232" spans="1:6" ht="16.899999999999999" customHeight="1" x14ac:dyDescent="0.25">
      <c r="C232" s="77" t="s">
        <v>299</v>
      </c>
      <c r="D232" s="77"/>
      <c r="E232" s="12"/>
      <c r="F232" s="6"/>
    </row>
    <row r="233" spans="1:6" ht="16.899999999999999" customHeight="1" x14ac:dyDescent="0.25">
      <c r="B233" s="118"/>
      <c r="C233" s="185"/>
      <c r="D233" s="185"/>
      <c r="E233" s="185"/>
      <c r="F233" s="211"/>
    </row>
    <row r="234" spans="1:6" s="2" customFormat="1" ht="16.899999999999999" customHeight="1" x14ac:dyDescent="0.25">
      <c r="A234" s="35">
        <v>423111</v>
      </c>
      <c r="B234" s="120"/>
      <c r="C234" s="113" t="s">
        <v>300</v>
      </c>
      <c r="D234" s="113" t="s">
        <v>301</v>
      </c>
      <c r="E234" s="124">
        <v>60000</v>
      </c>
      <c r="F234" s="170"/>
    </row>
    <row r="235" spans="1:6" s="2" customFormat="1" ht="16.899999999999999" customHeight="1" x14ac:dyDescent="0.25">
      <c r="A235" s="35">
        <v>423599</v>
      </c>
      <c r="B235" s="120"/>
      <c r="C235" s="113" t="s">
        <v>302</v>
      </c>
      <c r="D235" s="113" t="s">
        <v>303</v>
      </c>
      <c r="E235" s="124">
        <f>80000</f>
        <v>80000</v>
      </c>
      <c r="F235" s="170"/>
    </row>
    <row r="236" spans="1:6" s="2" customFormat="1" ht="16.899999999999999" customHeight="1" x14ac:dyDescent="0.25">
      <c r="A236" s="35">
        <v>423191</v>
      </c>
      <c r="B236" s="120"/>
      <c r="C236" s="113" t="s">
        <v>304</v>
      </c>
      <c r="D236" s="113" t="s">
        <v>305</v>
      </c>
      <c r="E236" s="124">
        <f>40000*12</f>
        <v>480000</v>
      </c>
      <c r="F236" s="170"/>
    </row>
    <row r="237" spans="1:6" s="2" customFormat="1" ht="16.899999999999999" customHeight="1" x14ac:dyDescent="0.25">
      <c r="A237" s="35">
        <v>423599</v>
      </c>
      <c r="B237" s="120"/>
      <c r="C237" s="113" t="s">
        <v>306</v>
      </c>
      <c r="D237" s="113" t="s">
        <v>307</v>
      </c>
      <c r="E237" s="124">
        <f>30000*6</f>
        <v>180000</v>
      </c>
      <c r="F237" s="170"/>
    </row>
    <row r="238" spans="1:6" ht="16.899999999999999" customHeight="1" x14ac:dyDescent="0.25">
      <c r="A238" s="35"/>
      <c r="B238" s="119"/>
      <c r="C238" s="95" t="s">
        <v>0</v>
      </c>
      <c r="D238" s="35"/>
      <c r="E238" s="35"/>
      <c r="F238" s="50">
        <f>SUM(E234:E237)</f>
        <v>800000</v>
      </c>
    </row>
    <row r="239" spans="1:6" ht="16.899999999999999" customHeight="1" x14ac:dyDescent="0.25">
      <c r="C239" s="77" t="s">
        <v>182</v>
      </c>
      <c r="D239" s="77"/>
      <c r="E239" s="12"/>
      <c r="F239" s="6"/>
    </row>
    <row r="240" spans="1:6" ht="16.899999999999999" customHeight="1" x14ac:dyDescent="0.25">
      <c r="B240" s="118"/>
      <c r="C240" s="185" t="s">
        <v>308</v>
      </c>
      <c r="D240" s="185"/>
      <c r="E240" s="185"/>
      <c r="F240" s="211"/>
    </row>
    <row r="241" spans="1:6" s="2" customFormat="1" ht="16.899999999999999" customHeight="1" x14ac:dyDescent="0.25">
      <c r="A241" s="35">
        <v>422211</v>
      </c>
      <c r="B241" s="120"/>
      <c r="C241" s="78" t="s">
        <v>309</v>
      </c>
      <c r="D241" s="113" t="s">
        <v>310</v>
      </c>
      <c r="E241" s="124">
        <f>2500*3*2*3</f>
        <v>45000</v>
      </c>
      <c r="F241" s="166"/>
    </row>
    <row r="242" spans="1:6" s="2" customFormat="1" ht="16.899999999999999" customHeight="1" x14ac:dyDescent="0.25">
      <c r="A242" s="35">
        <v>422231</v>
      </c>
      <c r="B242" s="120"/>
      <c r="C242" s="113" t="s">
        <v>311</v>
      </c>
      <c r="D242" s="113" t="s">
        <v>312</v>
      </c>
      <c r="E242" s="124">
        <f>12000*2*2*3</f>
        <v>144000</v>
      </c>
      <c r="F242" s="166"/>
    </row>
    <row r="243" spans="1:6" s="2" customFormat="1" ht="16.899999999999999" customHeight="1" x14ac:dyDescent="0.25">
      <c r="A243" s="35">
        <v>423911</v>
      </c>
      <c r="B243" s="120"/>
      <c r="C243" s="113" t="s">
        <v>183</v>
      </c>
      <c r="D243" s="113" t="s">
        <v>313</v>
      </c>
      <c r="E243" s="124">
        <f>70000*3</f>
        <v>210000</v>
      </c>
      <c r="F243" s="170"/>
    </row>
    <row r="244" spans="1:6" ht="16.899999999999999" customHeight="1" x14ac:dyDescent="0.25">
      <c r="A244" s="35"/>
      <c r="B244" s="119"/>
      <c r="C244" s="95" t="s">
        <v>0</v>
      </c>
      <c r="D244" s="35"/>
      <c r="E244" s="35"/>
      <c r="F244" s="50">
        <f>SUM(E241:E243)</f>
        <v>399000</v>
      </c>
    </row>
    <row r="245" spans="1:6" ht="16.899999999999999" customHeight="1" x14ac:dyDescent="0.25">
      <c r="B245" s="118"/>
      <c r="C245" s="18"/>
      <c r="D245" s="19"/>
      <c r="E245" s="20"/>
      <c r="F245" s="21"/>
    </row>
    <row r="246" spans="1:6" ht="16.899999999999999" customHeight="1" x14ac:dyDescent="0.25">
      <c r="C246" s="77" t="s">
        <v>184</v>
      </c>
      <c r="E246" s="79"/>
      <c r="F246" s="84"/>
    </row>
    <row r="247" spans="1:6" ht="39" customHeight="1" x14ac:dyDescent="0.25">
      <c r="B247" s="118"/>
      <c r="C247" s="185" t="s">
        <v>314</v>
      </c>
      <c r="D247" s="185"/>
      <c r="E247" s="185"/>
      <c r="F247" s="185"/>
    </row>
    <row r="248" spans="1:6" s="2" customFormat="1" ht="28.5" customHeight="1" x14ac:dyDescent="0.25">
      <c r="A248" s="35">
        <v>422121</v>
      </c>
      <c r="B248" s="120"/>
      <c r="C248" s="113" t="s">
        <v>315</v>
      </c>
      <c r="D248" s="113" t="s">
        <v>316</v>
      </c>
      <c r="E248" s="125">
        <f>2*45000+80000*2</f>
        <v>250000</v>
      </c>
      <c r="F248" s="163"/>
    </row>
    <row r="249" spans="1:6" s="2" customFormat="1" ht="16.899999999999999" customHeight="1" x14ac:dyDescent="0.25">
      <c r="A249" s="35">
        <v>422131</v>
      </c>
      <c r="B249" s="120"/>
      <c r="C249" s="113" t="s">
        <v>317</v>
      </c>
      <c r="D249" s="113" t="s">
        <v>318</v>
      </c>
      <c r="E249" s="125">
        <f>10000*3*3</f>
        <v>90000</v>
      </c>
      <c r="F249" s="163"/>
    </row>
    <row r="250" spans="1:6" s="2" customFormat="1" ht="16.899999999999999" customHeight="1" x14ac:dyDescent="0.25">
      <c r="A250" s="35">
        <v>423599</v>
      </c>
      <c r="B250" s="120"/>
      <c r="C250" s="113" t="s">
        <v>319</v>
      </c>
      <c r="D250" s="113" t="s">
        <v>320</v>
      </c>
      <c r="E250" s="125">
        <f>80000*3</f>
        <v>240000</v>
      </c>
      <c r="F250" s="167"/>
    </row>
    <row r="251" spans="1:6" s="2" customFormat="1" ht="16.899999999999999" customHeight="1" x14ac:dyDescent="0.25">
      <c r="A251" s="35">
        <v>423711</v>
      </c>
      <c r="B251" s="120"/>
      <c r="C251" s="113" t="s">
        <v>321</v>
      </c>
      <c r="D251" s="113" t="s">
        <v>322</v>
      </c>
      <c r="E251" s="125">
        <v>120000</v>
      </c>
      <c r="F251" s="167"/>
    </row>
    <row r="252" spans="1:6" ht="16.899999999999999" customHeight="1" x14ac:dyDescent="0.25">
      <c r="C252" s="16" t="s">
        <v>0</v>
      </c>
      <c r="E252" s="79"/>
      <c r="F252" s="17">
        <f>SUM(E248:E251)</f>
        <v>700000</v>
      </c>
    </row>
    <row r="253" spans="1:6" ht="16.899999999999999" customHeight="1" x14ac:dyDescent="0.25">
      <c r="B253" s="118"/>
      <c r="C253" s="18"/>
      <c r="D253" s="19"/>
      <c r="E253" s="20"/>
      <c r="F253" s="21"/>
    </row>
    <row r="254" spans="1:6" ht="16.899999999999999" customHeight="1" x14ac:dyDescent="0.25">
      <c r="C254" s="77" t="s">
        <v>188</v>
      </c>
      <c r="E254" s="79"/>
      <c r="F254" s="84"/>
    </row>
    <row r="255" spans="1:6" ht="16.899999999999999" customHeight="1" x14ac:dyDescent="0.25">
      <c r="B255" s="118"/>
      <c r="C255" s="185" t="s">
        <v>185</v>
      </c>
      <c r="D255" s="185"/>
      <c r="E255" s="185"/>
      <c r="F255" s="185"/>
    </row>
    <row r="256" spans="1:6" s="2" customFormat="1" ht="16.899999999999999" customHeight="1" x14ac:dyDescent="0.25">
      <c r="A256" s="35">
        <v>423111</v>
      </c>
      <c r="B256" s="120"/>
      <c r="C256" s="44" t="s">
        <v>20</v>
      </c>
      <c r="D256" s="27" t="s">
        <v>333</v>
      </c>
      <c r="E256" s="41">
        <v>40000</v>
      </c>
      <c r="F256" s="171"/>
    </row>
    <row r="257" spans="1:6" s="2" customFormat="1" ht="16.899999999999999" customHeight="1" x14ac:dyDescent="0.25">
      <c r="A257" s="35">
        <v>423599</v>
      </c>
      <c r="B257" s="120"/>
      <c r="C257" s="44" t="s">
        <v>186</v>
      </c>
      <c r="D257" s="27" t="s">
        <v>334</v>
      </c>
      <c r="E257" s="41">
        <v>30000</v>
      </c>
      <c r="F257" s="171"/>
    </row>
    <row r="258" spans="1:6" s="2" customFormat="1" ht="16.899999999999999" customHeight="1" x14ac:dyDescent="0.25">
      <c r="A258" s="35">
        <v>423599</v>
      </c>
      <c r="B258" s="120"/>
      <c r="C258" s="35" t="s">
        <v>323</v>
      </c>
      <c r="D258" s="27" t="s">
        <v>293</v>
      </c>
      <c r="E258" s="41">
        <v>50000</v>
      </c>
      <c r="F258" s="171"/>
    </row>
    <row r="259" spans="1:6" s="2" customFormat="1" ht="16.899999999999999" customHeight="1" x14ac:dyDescent="0.25">
      <c r="A259" s="35">
        <v>423411</v>
      </c>
      <c r="B259" s="120"/>
      <c r="C259" s="44" t="s">
        <v>324</v>
      </c>
      <c r="D259" s="27" t="s">
        <v>333</v>
      </c>
      <c r="E259" s="41">
        <v>40000</v>
      </c>
      <c r="F259" s="171"/>
    </row>
    <row r="260" spans="1:6" ht="16.899999999999999" customHeight="1" x14ac:dyDescent="0.25">
      <c r="C260" s="16" t="s">
        <v>0</v>
      </c>
      <c r="E260" s="79"/>
      <c r="F260" s="17">
        <f>SUM(E256:E259)</f>
        <v>160000</v>
      </c>
    </row>
    <row r="261" spans="1:6" ht="16.899999999999999" customHeight="1" x14ac:dyDescent="0.25">
      <c r="B261" s="118"/>
      <c r="C261" s="18"/>
      <c r="D261" s="19"/>
      <c r="E261" s="20"/>
      <c r="F261" s="21"/>
    </row>
    <row r="262" spans="1:6" ht="16.899999999999999" customHeight="1" x14ac:dyDescent="0.25">
      <c r="C262" s="195" t="s">
        <v>325</v>
      </c>
      <c r="D262" s="195"/>
      <c r="E262" s="84"/>
      <c r="F262" s="79"/>
    </row>
    <row r="263" spans="1:6" ht="22.9" customHeight="1" x14ac:dyDescent="0.25">
      <c r="B263" s="118"/>
      <c r="C263" s="176" t="s">
        <v>326</v>
      </c>
      <c r="D263" s="176"/>
      <c r="E263" s="176"/>
      <c r="F263" s="210"/>
    </row>
    <row r="264" spans="1:6" s="2" customFormat="1" ht="16.899999999999999" customHeight="1" x14ac:dyDescent="0.25">
      <c r="A264" s="35">
        <v>426621</v>
      </c>
      <c r="B264" s="120"/>
      <c r="C264" s="113" t="s">
        <v>187</v>
      </c>
      <c r="D264" s="113" t="s">
        <v>327</v>
      </c>
      <c r="E264" s="125">
        <v>200000</v>
      </c>
      <c r="F264" s="42"/>
    </row>
    <row r="265" spans="1:6" s="2" customFormat="1" ht="16.899999999999999" customHeight="1" x14ac:dyDescent="0.25">
      <c r="A265" s="35">
        <v>423191</v>
      </c>
      <c r="B265" s="120"/>
      <c r="C265" s="113" t="s">
        <v>328</v>
      </c>
      <c r="D265" s="113" t="s">
        <v>329</v>
      </c>
      <c r="E265" s="125">
        <v>60000</v>
      </c>
      <c r="F265" s="167"/>
    </row>
    <row r="266" spans="1:6" s="2" customFormat="1" ht="16.899999999999999" customHeight="1" x14ac:dyDescent="0.25">
      <c r="A266" s="35">
        <v>423449</v>
      </c>
      <c r="B266" s="120"/>
      <c r="C266" s="113" t="s">
        <v>330</v>
      </c>
      <c r="D266" s="113" t="s">
        <v>331</v>
      </c>
      <c r="E266" s="125">
        <f>60000*3</f>
        <v>180000</v>
      </c>
      <c r="F266" s="167"/>
    </row>
    <row r="267" spans="1:6" s="2" customFormat="1" ht="16.899999999999999" customHeight="1" x14ac:dyDescent="0.25">
      <c r="A267" s="35">
        <v>423449</v>
      </c>
      <c r="B267" s="120"/>
      <c r="C267" s="113" t="s">
        <v>332</v>
      </c>
      <c r="D267" s="113" t="s">
        <v>327</v>
      </c>
      <c r="E267" s="125">
        <v>200000</v>
      </c>
      <c r="F267" s="167"/>
    </row>
    <row r="268" spans="1:6" ht="16.899999999999999" customHeight="1" x14ac:dyDescent="0.25">
      <c r="C268" s="26" t="s">
        <v>0</v>
      </c>
      <c r="D268" s="26"/>
      <c r="E268" s="13"/>
      <c r="F268" s="17">
        <f>SUM(E264:E267)</f>
        <v>640000</v>
      </c>
    </row>
    <row r="269" spans="1:6" ht="16.899999999999999" customHeight="1" x14ac:dyDescent="0.25">
      <c r="B269" s="118"/>
      <c r="C269" s="18"/>
      <c r="D269" s="19"/>
      <c r="E269" s="20"/>
      <c r="F269" s="21"/>
    </row>
    <row r="270" spans="1:6" ht="16.899999999999999" customHeight="1" x14ac:dyDescent="0.25">
      <c r="C270" s="26" t="s">
        <v>205</v>
      </c>
      <c r="D270" s="36"/>
      <c r="E270" s="37"/>
      <c r="F270" s="38">
        <f>F238+F244+F252+F260+F268</f>
        <v>2699000</v>
      </c>
    </row>
    <row r="271" spans="1:6" ht="16.5" customHeight="1" x14ac:dyDescent="0.25">
      <c r="B271" s="49"/>
      <c r="C271" s="47"/>
      <c r="D271" s="55"/>
      <c r="E271" s="53"/>
      <c r="F271" s="48"/>
    </row>
    <row r="272" spans="1:6" s="52" customFormat="1" ht="16.5" customHeight="1" x14ac:dyDescent="0.25">
      <c r="A272" s="6"/>
      <c r="B272" s="119">
        <v>5</v>
      </c>
      <c r="C272" s="205" t="s">
        <v>335</v>
      </c>
      <c r="D272" s="205"/>
      <c r="E272" s="42"/>
      <c r="F272" s="53"/>
    </row>
    <row r="273" spans="1:6" s="52" customFormat="1" x14ac:dyDescent="0.25">
      <c r="A273" s="6"/>
      <c r="B273" s="10"/>
      <c r="C273" s="194"/>
      <c r="D273" s="194"/>
      <c r="E273" s="135"/>
      <c r="F273" s="67"/>
    </row>
    <row r="274" spans="1:6" s="52" customFormat="1" x14ac:dyDescent="0.25">
      <c r="A274" s="6"/>
      <c r="B274" s="8" t="s">
        <v>195</v>
      </c>
      <c r="C274" s="4" t="s">
        <v>372</v>
      </c>
      <c r="D274" s="12"/>
      <c r="E274" s="13"/>
      <c r="F274" s="64"/>
    </row>
    <row r="275" spans="1:6" s="52" customFormat="1" x14ac:dyDescent="0.25">
      <c r="A275" s="6"/>
      <c r="B275" s="8"/>
      <c r="C275" s="6" t="s">
        <v>371</v>
      </c>
      <c r="D275" s="12"/>
      <c r="E275" s="13"/>
      <c r="F275" s="64"/>
    </row>
    <row r="276" spans="1:6" s="2" customFormat="1" x14ac:dyDescent="0.25">
      <c r="A276" s="35">
        <v>423599</v>
      </c>
      <c r="B276" s="120"/>
      <c r="C276" s="35" t="s">
        <v>98</v>
      </c>
      <c r="D276" s="43" t="s">
        <v>226</v>
      </c>
      <c r="E276" s="41">
        <f>700*120</f>
        <v>84000</v>
      </c>
      <c r="F276" s="53"/>
    </row>
    <row r="277" spans="1:6" s="2" customFormat="1" x14ac:dyDescent="0.25">
      <c r="A277" s="35">
        <v>423599</v>
      </c>
      <c r="B277" s="120"/>
      <c r="C277" s="35" t="s">
        <v>99</v>
      </c>
      <c r="D277" s="43" t="s">
        <v>153</v>
      </c>
      <c r="E277" s="41">
        <f>2000*120</f>
        <v>240000</v>
      </c>
      <c r="F277" s="53"/>
    </row>
    <row r="278" spans="1:6" s="2" customFormat="1" x14ac:dyDescent="0.25">
      <c r="A278" s="35">
        <v>423911</v>
      </c>
      <c r="B278" s="120"/>
      <c r="C278" s="35" t="s">
        <v>26</v>
      </c>
      <c r="D278" s="43" t="s">
        <v>227</v>
      </c>
      <c r="E278" s="41">
        <f>300*120</f>
        <v>36000</v>
      </c>
      <c r="F278" s="53"/>
    </row>
    <row r="279" spans="1:6" s="2" customFormat="1" ht="16.5" customHeight="1" x14ac:dyDescent="0.25">
      <c r="A279" s="35">
        <v>423413</v>
      </c>
      <c r="B279" s="120"/>
      <c r="C279" s="35" t="s">
        <v>21</v>
      </c>
      <c r="D279" s="43" t="s">
        <v>149</v>
      </c>
      <c r="E279" s="41">
        <f>3500*120</f>
        <v>420000</v>
      </c>
      <c r="F279" s="53"/>
    </row>
    <row r="280" spans="1:6" s="2" customFormat="1" x14ac:dyDescent="0.25">
      <c r="A280" s="35"/>
      <c r="B280" s="119"/>
      <c r="C280" s="57" t="s">
        <v>0</v>
      </c>
      <c r="D280" s="57"/>
      <c r="E280" s="50"/>
      <c r="F280" s="50">
        <f>SUM(E276:E279)</f>
        <v>780000</v>
      </c>
    </row>
    <row r="281" spans="1:6" s="2" customFormat="1" x14ac:dyDescent="0.25">
      <c r="A281" s="35"/>
      <c r="B281" s="119"/>
      <c r="C281" s="47"/>
      <c r="D281" s="55"/>
      <c r="E281" s="53"/>
      <c r="F281" s="48"/>
    </row>
    <row r="282" spans="1:6" s="2" customFormat="1" x14ac:dyDescent="0.25">
      <c r="A282" s="35"/>
      <c r="B282" s="119" t="s">
        <v>196</v>
      </c>
      <c r="C282" s="136" t="s">
        <v>375</v>
      </c>
      <c r="D282" s="43"/>
      <c r="E282" s="41"/>
      <c r="F282" s="53"/>
    </row>
    <row r="283" spans="1:6" s="2" customFormat="1" x14ac:dyDescent="0.25">
      <c r="A283" s="35"/>
      <c r="B283" s="119"/>
      <c r="C283" s="35" t="s">
        <v>373</v>
      </c>
      <c r="D283" s="43"/>
      <c r="E283" s="41"/>
      <c r="F283" s="53"/>
    </row>
    <row r="284" spans="1:6" s="2" customFormat="1" x14ac:dyDescent="0.25">
      <c r="A284" s="35">
        <v>424221</v>
      </c>
      <c r="B284" s="120"/>
      <c r="C284" s="35" t="s">
        <v>100</v>
      </c>
      <c r="D284" s="27" t="s">
        <v>374</v>
      </c>
      <c r="E284" s="41">
        <f>3200*120</f>
        <v>384000</v>
      </c>
      <c r="F284" s="53"/>
    </row>
    <row r="285" spans="1:6" s="2" customFormat="1" x14ac:dyDescent="0.25">
      <c r="A285" s="35">
        <v>423111</v>
      </c>
      <c r="B285" s="137"/>
      <c r="C285" s="35" t="s">
        <v>20</v>
      </c>
      <c r="D285" s="43" t="s">
        <v>171</v>
      </c>
      <c r="E285" s="41">
        <f>1500*120</f>
        <v>180000</v>
      </c>
      <c r="F285" s="53"/>
    </row>
    <row r="286" spans="1:6" s="2" customFormat="1" x14ac:dyDescent="0.25">
      <c r="A286" s="35">
        <v>423599</v>
      </c>
      <c r="B286" s="120"/>
      <c r="C286" s="35" t="s">
        <v>27</v>
      </c>
      <c r="D286" s="43" t="s">
        <v>212</v>
      </c>
      <c r="E286" s="41">
        <f>800*120</f>
        <v>96000</v>
      </c>
      <c r="F286" s="53"/>
    </row>
    <row r="287" spans="1:6" s="2" customFormat="1" x14ac:dyDescent="0.25">
      <c r="A287" s="35">
        <v>423599</v>
      </c>
      <c r="B287" s="120"/>
      <c r="C287" s="35" t="s">
        <v>99</v>
      </c>
      <c r="D287" s="27" t="s">
        <v>171</v>
      </c>
      <c r="E287" s="41">
        <f>1500*120</f>
        <v>180000</v>
      </c>
      <c r="F287" s="53"/>
    </row>
    <row r="288" spans="1:6" s="2" customFormat="1" x14ac:dyDescent="0.25">
      <c r="A288" s="35">
        <v>423911</v>
      </c>
      <c r="B288" s="120"/>
      <c r="C288" s="35" t="s">
        <v>207</v>
      </c>
      <c r="D288" s="27" t="s">
        <v>376</v>
      </c>
      <c r="E288" s="41">
        <f>400*120</f>
        <v>48000</v>
      </c>
      <c r="F288" s="53"/>
    </row>
    <row r="289" spans="1:6" s="2" customFormat="1" x14ac:dyDescent="0.25">
      <c r="A289" s="35">
        <v>423413</v>
      </c>
      <c r="B289" s="120"/>
      <c r="C289" s="35" t="s">
        <v>21</v>
      </c>
      <c r="D289" s="27" t="s">
        <v>149</v>
      </c>
      <c r="E289" s="41">
        <f>3500*120</f>
        <v>420000</v>
      </c>
      <c r="F289" s="53"/>
    </row>
    <row r="290" spans="1:6" s="2" customFormat="1" x14ac:dyDescent="0.25">
      <c r="A290" s="35"/>
      <c r="B290" s="119"/>
      <c r="C290" s="57" t="s">
        <v>0</v>
      </c>
      <c r="D290" s="57"/>
      <c r="E290" s="50"/>
      <c r="F290" s="50">
        <f>SUM(E284:E289)</f>
        <v>1308000</v>
      </c>
    </row>
    <row r="291" spans="1:6" s="2" customFormat="1" x14ac:dyDescent="0.25">
      <c r="A291" s="35"/>
      <c r="B291" s="119"/>
      <c r="C291" s="47"/>
      <c r="D291" s="55"/>
      <c r="E291" s="53"/>
      <c r="F291" s="48"/>
    </row>
    <row r="292" spans="1:6" s="2" customFormat="1" x14ac:dyDescent="0.25">
      <c r="A292" s="35"/>
      <c r="B292" s="119" t="s">
        <v>197</v>
      </c>
      <c r="C292" s="138" t="s">
        <v>377</v>
      </c>
      <c r="D292" s="43"/>
      <c r="E292" s="41"/>
      <c r="F292" s="53"/>
    </row>
    <row r="293" spans="1:6" s="2" customFormat="1" x14ac:dyDescent="0.25">
      <c r="A293" s="35"/>
      <c r="B293" s="119"/>
      <c r="C293" s="43" t="s">
        <v>373</v>
      </c>
      <c r="D293" s="43"/>
      <c r="E293" s="41"/>
      <c r="F293" s="53"/>
    </row>
    <row r="294" spans="1:6" s="2" customFormat="1" x14ac:dyDescent="0.25">
      <c r="A294" s="35">
        <v>424221</v>
      </c>
      <c r="B294" s="120"/>
      <c r="C294" s="35" t="s">
        <v>100</v>
      </c>
      <c r="D294" s="43" t="s">
        <v>153</v>
      </c>
      <c r="E294" s="41">
        <f>2000*120</f>
        <v>240000</v>
      </c>
      <c r="F294" s="53"/>
    </row>
    <row r="295" spans="1:6" s="2" customFormat="1" x14ac:dyDescent="0.25">
      <c r="A295" s="35">
        <v>423599</v>
      </c>
      <c r="B295" s="120"/>
      <c r="C295" s="35" t="s">
        <v>125</v>
      </c>
      <c r="D295" s="27" t="s">
        <v>226</v>
      </c>
      <c r="E295" s="41">
        <f>700*120</f>
        <v>84000</v>
      </c>
      <c r="F295" s="53"/>
    </row>
    <row r="296" spans="1:6" s="2" customFormat="1" x14ac:dyDescent="0.25">
      <c r="A296" s="35">
        <v>423599</v>
      </c>
      <c r="B296" s="120"/>
      <c r="C296" s="35" t="s">
        <v>126</v>
      </c>
      <c r="D296" s="27" t="s">
        <v>153</v>
      </c>
      <c r="E296" s="41">
        <f>2000*120</f>
        <v>240000</v>
      </c>
      <c r="F296" s="53"/>
    </row>
    <row r="297" spans="1:6" s="2" customFormat="1" x14ac:dyDescent="0.25">
      <c r="A297" s="35">
        <v>423599</v>
      </c>
      <c r="B297" s="120"/>
      <c r="C297" s="35" t="s">
        <v>378</v>
      </c>
      <c r="D297" s="27" t="s">
        <v>225</v>
      </c>
      <c r="E297" s="41">
        <f>600*120</f>
        <v>72000</v>
      </c>
      <c r="F297" s="53"/>
    </row>
    <row r="298" spans="1:6" s="2" customFormat="1" x14ac:dyDescent="0.25">
      <c r="A298" s="35">
        <v>423911</v>
      </c>
      <c r="B298" s="120"/>
      <c r="C298" s="35" t="s">
        <v>26</v>
      </c>
      <c r="D298" s="27" t="s">
        <v>376</v>
      </c>
      <c r="E298" s="41">
        <f>400*120</f>
        <v>48000</v>
      </c>
      <c r="F298" s="53"/>
    </row>
    <row r="299" spans="1:6" s="2" customFormat="1" x14ac:dyDescent="0.25">
      <c r="A299" s="35">
        <v>423413</v>
      </c>
      <c r="B299" s="120"/>
      <c r="C299" s="35" t="s">
        <v>21</v>
      </c>
      <c r="D299" s="27" t="s">
        <v>152</v>
      </c>
      <c r="E299" s="41">
        <f>3000*120</f>
        <v>360000</v>
      </c>
      <c r="F299" s="53"/>
    </row>
    <row r="300" spans="1:6" s="2" customFormat="1" x14ac:dyDescent="0.25">
      <c r="A300" s="35"/>
      <c r="B300" s="119"/>
      <c r="C300" s="57" t="s">
        <v>0</v>
      </c>
      <c r="D300" s="57"/>
      <c r="E300" s="50"/>
      <c r="F300" s="50">
        <f>SUM(E294:E299)</f>
        <v>1044000</v>
      </c>
    </row>
    <row r="301" spans="1:6" s="2" customFormat="1" x14ac:dyDescent="0.25">
      <c r="A301" s="35"/>
      <c r="B301" s="119"/>
      <c r="C301" s="57"/>
      <c r="D301" s="57"/>
      <c r="E301" s="50"/>
      <c r="F301" s="50"/>
    </row>
    <row r="302" spans="1:6" s="2" customFormat="1" x14ac:dyDescent="0.25">
      <c r="A302" s="35"/>
      <c r="B302" s="119" t="s">
        <v>198</v>
      </c>
      <c r="C302" s="139" t="s">
        <v>379</v>
      </c>
      <c r="D302" s="57"/>
      <c r="E302" s="50"/>
      <c r="F302" s="50"/>
    </row>
    <row r="303" spans="1:6" s="2" customFormat="1" x14ac:dyDescent="0.25">
      <c r="A303" s="35"/>
      <c r="B303" s="119"/>
      <c r="C303" s="43" t="s">
        <v>210</v>
      </c>
      <c r="D303" s="43"/>
      <c r="E303" s="41"/>
      <c r="F303" s="53"/>
    </row>
    <row r="304" spans="1:6" s="2" customFormat="1" x14ac:dyDescent="0.25">
      <c r="A304" s="35">
        <v>423599</v>
      </c>
      <c r="B304" s="120"/>
      <c r="C304" s="35" t="s">
        <v>100</v>
      </c>
      <c r="D304" s="43" t="s">
        <v>152</v>
      </c>
      <c r="E304" s="41">
        <f>3000*120</f>
        <v>360000</v>
      </c>
      <c r="F304" s="53"/>
    </row>
    <row r="305" spans="1:6" s="2" customFormat="1" x14ac:dyDescent="0.25">
      <c r="A305" s="35">
        <v>423599</v>
      </c>
      <c r="B305" s="120"/>
      <c r="C305" s="35" t="s">
        <v>125</v>
      </c>
      <c r="D305" s="27" t="s">
        <v>151</v>
      </c>
      <c r="E305" s="41">
        <f>800*120</f>
        <v>96000</v>
      </c>
      <c r="F305" s="53"/>
    </row>
    <row r="306" spans="1:6" s="2" customFormat="1" x14ac:dyDescent="0.25">
      <c r="A306" s="35">
        <v>423599</v>
      </c>
      <c r="B306" s="120"/>
      <c r="C306" s="35" t="s">
        <v>126</v>
      </c>
      <c r="D306" s="27" t="s">
        <v>152</v>
      </c>
      <c r="E306" s="41">
        <f>3000*120</f>
        <v>360000</v>
      </c>
      <c r="F306" s="53"/>
    </row>
    <row r="307" spans="1:6" s="2" customFormat="1" x14ac:dyDescent="0.25">
      <c r="A307" s="35">
        <v>423599</v>
      </c>
      <c r="B307" s="120"/>
      <c r="C307" s="35" t="s">
        <v>380</v>
      </c>
      <c r="D307" s="27" t="s">
        <v>146</v>
      </c>
      <c r="E307" s="41">
        <f>500*120</f>
        <v>60000</v>
      </c>
      <c r="F307" s="53"/>
    </row>
    <row r="308" spans="1:6" s="2" customFormat="1" x14ac:dyDescent="0.25">
      <c r="A308" s="35">
        <v>423413</v>
      </c>
      <c r="B308" s="120"/>
      <c r="C308" s="35" t="s">
        <v>21</v>
      </c>
      <c r="D308" s="27" t="s">
        <v>152</v>
      </c>
      <c r="E308" s="41">
        <f>3000*120</f>
        <v>360000</v>
      </c>
      <c r="F308" s="53"/>
    </row>
    <row r="309" spans="1:6" s="2" customFormat="1" x14ac:dyDescent="0.25">
      <c r="A309" s="35"/>
      <c r="B309" s="119"/>
      <c r="C309" s="57" t="s">
        <v>0</v>
      </c>
      <c r="D309" s="57"/>
      <c r="E309" s="50"/>
      <c r="F309" s="50">
        <f>SUM(E304:E308)</f>
        <v>1236000</v>
      </c>
    </row>
    <row r="310" spans="1:6" s="2" customFormat="1" x14ac:dyDescent="0.25">
      <c r="A310" s="35"/>
      <c r="B310" s="119"/>
      <c r="C310" s="57"/>
      <c r="D310" s="57"/>
      <c r="E310" s="50"/>
      <c r="F310" s="50"/>
    </row>
    <row r="311" spans="1:6" s="2" customFormat="1" x14ac:dyDescent="0.25">
      <c r="A311" s="35"/>
      <c r="B311" s="119" t="s">
        <v>216</v>
      </c>
      <c r="C311" s="139" t="s">
        <v>381</v>
      </c>
      <c r="D311" s="57"/>
      <c r="E311" s="50"/>
      <c r="F311" s="50"/>
    </row>
    <row r="312" spans="1:6" s="2" customFormat="1" x14ac:dyDescent="0.25">
      <c r="A312" s="35"/>
      <c r="B312" s="119"/>
      <c r="C312" s="43" t="s">
        <v>373</v>
      </c>
      <c r="D312" s="43"/>
      <c r="E312" s="41"/>
      <c r="F312" s="53"/>
    </row>
    <row r="313" spans="1:6" s="2" customFormat="1" x14ac:dyDescent="0.25">
      <c r="A313" s="35">
        <v>423599</v>
      </c>
      <c r="B313" s="120"/>
      <c r="C313" s="35" t="s">
        <v>100</v>
      </c>
      <c r="D313" s="43" t="s">
        <v>153</v>
      </c>
      <c r="E313" s="41">
        <f>2000*120</f>
        <v>240000</v>
      </c>
      <c r="F313" s="53"/>
    </row>
    <row r="314" spans="1:6" s="2" customFormat="1" x14ac:dyDescent="0.25">
      <c r="A314" s="35">
        <v>423599</v>
      </c>
      <c r="B314" s="120"/>
      <c r="C314" s="35" t="s">
        <v>125</v>
      </c>
      <c r="D314" s="27" t="s">
        <v>226</v>
      </c>
      <c r="E314" s="41">
        <f>700*120</f>
        <v>84000</v>
      </c>
      <c r="F314" s="53"/>
    </row>
    <row r="315" spans="1:6" s="2" customFormat="1" x14ac:dyDescent="0.25">
      <c r="A315" s="35">
        <v>423599</v>
      </c>
      <c r="B315" s="120"/>
      <c r="C315" s="35" t="s">
        <v>126</v>
      </c>
      <c r="D315" s="27" t="s">
        <v>153</v>
      </c>
      <c r="E315" s="41">
        <f>2000*120</f>
        <v>240000</v>
      </c>
      <c r="F315" s="53"/>
    </row>
    <row r="316" spans="1:6" s="2" customFormat="1" x14ac:dyDescent="0.25">
      <c r="A316" s="35">
        <v>423599</v>
      </c>
      <c r="B316" s="120"/>
      <c r="C316" s="35" t="s">
        <v>380</v>
      </c>
      <c r="D316" s="27" t="s">
        <v>225</v>
      </c>
      <c r="E316" s="41">
        <f>600*120</f>
        <v>72000</v>
      </c>
      <c r="F316" s="53"/>
    </row>
    <row r="317" spans="1:6" s="2" customFormat="1" x14ac:dyDescent="0.25">
      <c r="A317" s="35">
        <v>423911</v>
      </c>
      <c r="B317" s="120"/>
      <c r="C317" s="35" t="s">
        <v>26</v>
      </c>
      <c r="D317" s="27" t="s">
        <v>146</v>
      </c>
      <c r="E317" s="41">
        <f>500*120</f>
        <v>60000</v>
      </c>
      <c r="F317" s="53"/>
    </row>
    <row r="318" spans="1:6" s="2" customFormat="1" x14ac:dyDescent="0.25">
      <c r="A318" s="35">
        <v>423413</v>
      </c>
      <c r="B318" s="120"/>
      <c r="C318" s="35" t="s">
        <v>21</v>
      </c>
      <c r="D318" s="27" t="s">
        <v>152</v>
      </c>
      <c r="E318" s="41">
        <f>3000*120</f>
        <v>360000</v>
      </c>
      <c r="F318" s="53"/>
    </row>
    <row r="319" spans="1:6" s="2" customFormat="1" x14ac:dyDescent="0.25">
      <c r="A319" s="35"/>
      <c r="B319" s="119"/>
      <c r="C319" s="57" t="s">
        <v>0</v>
      </c>
      <c r="D319" s="57"/>
      <c r="E319" s="50"/>
      <c r="F319" s="50">
        <f>SUM(E313:E318)</f>
        <v>1056000</v>
      </c>
    </row>
    <row r="320" spans="1:6" s="2" customFormat="1" x14ac:dyDescent="0.25">
      <c r="A320" s="35"/>
      <c r="B320" s="119"/>
      <c r="C320" s="140"/>
      <c r="D320" s="57"/>
      <c r="E320" s="50"/>
      <c r="F320" s="50"/>
    </row>
    <row r="321" spans="1:6" s="2" customFormat="1" ht="31.5" x14ac:dyDescent="0.25">
      <c r="A321" s="35"/>
      <c r="B321" s="119" t="s">
        <v>217</v>
      </c>
      <c r="C321" s="139" t="s">
        <v>387</v>
      </c>
      <c r="D321" s="57"/>
      <c r="E321" s="50"/>
      <c r="F321" s="50"/>
    </row>
    <row r="322" spans="1:6" s="2" customFormat="1" x14ac:dyDescent="0.25">
      <c r="A322" s="35"/>
      <c r="B322" s="119"/>
      <c r="C322" s="43" t="s">
        <v>172</v>
      </c>
      <c r="D322" s="43"/>
      <c r="E322" s="41"/>
      <c r="F322" s="53"/>
    </row>
    <row r="323" spans="1:6" s="2" customFormat="1" x14ac:dyDescent="0.25">
      <c r="A323" s="35">
        <v>423599</v>
      </c>
      <c r="B323" s="120"/>
      <c r="C323" s="35" t="s">
        <v>86</v>
      </c>
      <c r="D323" s="43" t="s">
        <v>153</v>
      </c>
      <c r="E323" s="41">
        <f>2000*120</f>
        <v>240000</v>
      </c>
      <c r="F323" s="53"/>
    </row>
    <row r="324" spans="1:6" s="2" customFormat="1" x14ac:dyDescent="0.25">
      <c r="A324" s="35">
        <v>423111</v>
      </c>
      <c r="B324" s="137"/>
      <c r="C324" s="35" t="s">
        <v>20</v>
      </c>
      <c r="D324" s="43" t="s">
        <v>170</v>
      </c>
      <c r="E324" s="41">
        <f>4000*120</f>
        <v>480000</v>
      </c>
      <c r="F324" s="53"/>
    </row>
    <row r="325" spans="1:6" s="2" customFormat="1" x14ac:dyDescent="0.25">
      <c r="A325" s="35">
        <v>423599</v>
      </c>
      <c r="B325" s="120"/>
      <c r="C325" s="35" t="s">
        <v>125</v>
      </c>
      <c r="D325" s="27" t="s">
        <v>155</v>
      </c>
      <c r="E325" s="41">
        <f>1200*120</f>
        <v>144000</v>
      </c>
      <c r="F325" s="53"/>
    </row>
    <row r="326" spans="1:6" s="2" customFormat="1" x14ac:dyDescent="0.25">
      <c r="A326" s="35">
        <v>423599</v>
      </c>
      <c r="B326" s="120"/>
      <c r="C326" s="35" t="s">
        <v>126</v>
      </c>
      <c r="D326" s="27" t="s">
        <v>150</v>
      </c>
      <c r="E326" s="41">
        <f>2500*120</f>
        <v>300000</v>
      </c>
      <c r="F326" s="53"/>
    </row>
    <row r="327" spans="1:6" s="2" customFormat="1" x14ac:dyDescent="0.25">
      <c r="A327" s="35">
        <v>423599</v>
      </c>
      <c r="B327" s="120"/>
      <c r="C327" s="35" t="s">
        <v>380</v>
      </c>
      <c r="D327" s="27" t="s">
        <v>154</v>
      </c>
      <c r="E327" s="41">
        <f>1000*120</f>
        <v>120000</v>
      </c>
      <c r="F327" s="53"/>
    </row>
    <row r="328" spans="1:6" s="2" customFormat="1" x14ac:dyDescent="0.25">
      <c r="A328" s="35">
        <v>423911</v>
      </c>
      <c r="B328" s="120"/>
      <c r="C328" s="35" t="s">
        <v>26</v>
      </c>
      <c r="D328" s="27" t="s">
        <v>146</v>
      </c>
      <c r="E328" s="41">
        <f>500*120</f>
        <v>60000</v>
      </c>
      <c r="F328" s="53"/>
    </row>
    <row r="329" spans="1:6" s="2" customFormat="1" x14ac:dyDescent="0.25">
      <c r="A329" s="35">
        <v>423413</v>
      </c>
      <c r="B329" s="120"/>
      <c r="C329" s="35" t="s">
        <v>21</v>
      </c>
      <c r="D329" s="27" t="s">
        <v>170</v>
      </c>
      <c r="E329" s="41">
        <f>4000*120</f>
        <v>480000</v>
      </c>
      <c r="F329" s="53"/>
    </row>
    <row r="330" spans="1:6" s="2" customFormat="1" x14ac:dyDescent="0.25">
      <c r="A330" s="35"/>
      <c r="B330" s="119"/>
      <c r="C330" s="57" t="s">
        <v>0</v>
      </c>
      <c r="D330" s="57"/>
      <c r="E330" s="50"/>
      <c r="F330" s="50">
        <f>SUM(E323:E329)</f>
        <v>1824000</v>
      </c>
    </row>
    <row r="331" spans="1:6" s="2" customFormat="1" x14ac:dyDescent="0.25">
      <c r="A331" s="35"/>
      <c r="B331" s="119"/>
      <c r="C331" s="140"/>
      <c r="D331" s="57"/>
      <c r="E331" s="50"/>
      <c r="F331" s="50"/>
    </row>
    <row r="332" spans="1:6" s="2" customFormat="1" x14ac:dyDescent="0.25">
      <c r="A332" s="35"/>
      <c r="B332" s="122" t="s">
        <v>199</v>
      </c>
      <c r="C332" s="138" t="s">
        <v>382</v>
      </c>
      <c r="D332" s="43"/>
      <c r="E332" s="41"/>
      <c r="F332" s="53"/>
    </row>
    <row r="333" spans="1:6" s="2" customFormat="1" x14ac:dyDescent="0.25">
      <c r="A333" s="35"/>
      <c r="B333" s="122"/>
      <c r="C333" s="35" t="s">
        <v>383</v>
      </c>
      <c r="D333" s="43"/>
      <c r="E333" s="41"/>
      <c r="F333" s="53"/>
    </row>
    <row r="334" spans="1:6" s="2" customFormat="1" x14ac:dyDescent="0.25">
      <c r="A334" s="35">
        <v>424221</v>
      </c>
      <c r="B334" s="137"/>
      <c r="C334" s="35" t="s">
        <v>100</v>
      </c>
      <c r="D334" s="43" t="s">
        <v>153</v>
      </c>
      <c r="E334" s="41">
        <f>2000*120</f>
        <v>240000</v>
      </c>
      <c r="F334" s="53"/>
    </row>
    <row r="335" spans="1:6" s="2" customFormat="1" x14ac:dyDescent="0.25">
      <c r="A335" s="35">
        <v>423599</v>
      </c>
      <c r="B335" s="137"/>
      <c r="C335" s="35" t="s">
        <v>98</v>
      </c>
      <c r="D335" s="43" t="s">
        <v>226</v>
      </c>
      <c r="E335" s="41">
        <f>700*120</f>
        <v>84000</v>
      </c>
      <c r="F335" s="53"/>
    </row>
    <row r="336" spans="1:6" s="2" customFormat="1" x14ac:dyDescent="0.25">
      <c r="A336" s="35">
        <v>423599</v>
      </c>
      <c r="B336" s="137"/>
      <c r="C336" s="35" t="s">
        <v>99</v>
      </c>
      <c r="D336" s="43" t="s">
        <v>150</v>
      </c>
      <c r="E336" s="41">
        <f>2500*120</f>
        <v>300000</v>
      </c>
      <c r="F336" s="53"/>
    </row>
    <row r="337" spans="1:6" s="2" customFormat="1" x14ac:dyDescent="0.25">
      <c r="A337" s="35">
        <v>423599</v>
      </c>
      <c r="B337" s="120"/>
      <c r="C337" s="35" t="s">
        <v>380</v>
      </c>
      <c r="D337" s="27" t="s">
        <v>151</v>
      </c>
      <c r="E337" s="41">
        <f>800*120</f>
        <v>96000</v>
      </c>
      <c r="F337" s="53"/>
    </row>
    <row r="338" spans="1:6" s="2" customFormat="1" x14ac:dyDescent="0.25">
      <c r="A338" s="35">
        <v>423911</v>
      </c>
      <c r="B338" s="120"/>
      <c r="C338" s="35" t="s">
        <v>26</v>
      </c>
      <c r="D338" s="27" t="s">
        <v>226</v>
      </c>
      <c r="E338" s="41">
        <f>700*120</f>
        <v>84000</v>
      </c>
      <c r="F338" s="53"/>
    </row>
    <row r="339" spans="1:6" s="2" customFormat="1" ht="16.5" customHeight="1" x14ac:dyDescent="0.25">
      <c r="A339" s="35">
        <v>423413</v>
      </c>
      <c r="B339" s="137"/>
      <c r="C339" s="35" t="s">
        <v>21</v>
      </c>
      <c r="D339" s="43" t="s">
        <v>384</v>
      </c>
      <c r="E339" s="41">
        <f>3300*120</f>
        <v>396000</v>
      </c>
      <c r="F339" s="53"/>
    </row>
    <row r="340" spans="1:6" s="2" customFormat="1" x14ac:dyDescent="0.25">
      <c r="A340" s="35"/>
      <c r="B340" s="122"/>
      <c r="C340" s="57" t="s">
        <v>0</v>
      </c>
      <c r="D340" s="57"/>
      <c r="E340" s="50"/>
      <c r="F340" s="50">
        <f>SUM(E334:E339)</f>
        <v>1200000</v>
      </c>
    </row>
    <row r="341" spans="1:6" s="2" customFormat="1" x14ac:dyDescent="0.25">
      <c r="A341" s="138"/>
      <c r="B341" s="119"/>
      <c r="C341" s="57"/>
      <c r="D341" s="57"/>
      <c r="E341" s="50"/>
      <c r="F341" s="50"/>
    </row>
    <row r="342" spans="1:6" s="2" customFormat="1" x14ac:dyDescent="0.25">
      <c r="A342" s="138"/>
      <c r="B342" s="119" t="s">
        <v>230</v>
      </c>
      <c r="C342" s="139" t="s">
        <v>174</v>
      </c>
      <c r="D342" s="57"/>
      <c r="E342" s="41"/>
      <c r="F342" s="50"/>
    </row>
    <row r="343" spans="1:6" s="2" customFormat="1" ht="22.15" customHeight="1" x14ac:dyDescent="0.25">
      <c r="A343" s="35">
        <v>424221</v>
      </c>
      <c r="B343" s="120"/>
      <c r="C343" s="140" t="s">
        <v>173</v>
      </c>
      <c r="D343" s="140"/>
      <c r="E343" s="41">
        <f>8500*120</f>
        <v>1020000</v>
      </c>
      <c r="F343" s="41"/>
    </row>
    <row r="344" spans="1:6" s="2" customFormat="1" x14ac:dyDescent="0.25">
      <c r="A344" s="35"/>
      <c r="B344" s="119"/>
      <c r="C344" s="57" t="s">
        <v>0</v>
      </c>
      <c r="D344" s="57"/>
      <c r="E344" s="50"/>
      <c r="F344" s="50">
        <f>+E343</f>
        <v>1020000</v>
      </c>
    </row>
    <row r="345" spans="1:6" s="2" customFormat="1" x14ac:dyDescent="0.25">
      <c r="A345" s="35"/>
      <c r="B345" s="119"/>
      <c r="C345" s="57"/>
      <c r="D345" s="57"/>
      <c r="E345" s="50"/>
      <c r="F345" s="50"/>
    </row>
    <row r="346" spans="1:6" s="2" customFormat="1" x14ac:dyDescent="0.25">
      <c r="A346" s="35"/>
      <c r="B346" s="119" t="s">
        <v>218</v>
      </c>
      <c r="C346" s="138" t="s">
        <v>337</v>
      </c>
      <c r="D346" s="43"/>
      <c r="E346" s="41"/>
      <c r="F346" s="53"/>
    </row>
    <row r="347" spans="1:6" s="2" customFormat="1" x14ac:dyDescent="0.25">
      <c r="A347" s="35">
        <v>421619</v>
      </c>
      <c r="B347" s="120"/>
      <c r="C347" s="35" t="s">
        <v>29</v>
      </c>
      <c r="D347" s="43" t="s">
        <v>150</v>
      </c>
      <c r="E347" s="41">
        <f>2500*120</f>
        <v>300000</v>
      </c>
      <c r="F347" s="53"/>
    </row>
    <row r="348" spans="1:6" s="2" customFormat="1" x14ac:dyDescent="0.25">
      <c r="A348" s="35">
        <v>422911</v>
      </c>
      <c r="B348" s="120"/>
      <c r="C348" s="35" t="s">
        <v>28</v>
      </c>
      <c r="D348" s="43" t="s">
        <v>225</v>
      </c>
      <c r="E348" s="41">
        <f>600*120</f>
        <v>72000</v>
      </c>
      <c r="F348" s="53"/>
    </row>
    <row r="349" spans="1:6" s="2" customFormat="1" x14ac:dyDescent="0.25">
      <c r="A349" s="35">
        <v>423911</v>
      </c>
      <c r="B349" s="137"/>
      <c r="C349" s="35" t="s">
        <v>209</v>
      </c>
      <c r="D349" s="43" t="s">
        <v>385</v>
      </c>
      <c r="E349" s="41">
        <f>1600*120</f>
        <v>192000</v>
      </c>
      <c r="F349" s="53"/>
    </row>
    <row r="350" spans="1:6" s="2" customFormat="1" ht="19.899999999999999" customHeight="1" x14ac:dyDescent="0.25">
      <c r="A350" s="35">
        <v>423711</v>
      </c>
      <c r="B350" s="120"/>
      <c r="C350" s="27" t="s">
        <v>62</v>
      </c>
      <c r="D350" s="27" t="s">
        <v>146</v>
      </c>
      <c r="E350" s="41">
        <f>500*120</f>
        <v>60000</v>
      </c>
      <c r="F350" s="42"/>
    </row>
    <row r="351" spans="1:6" x14ac:dyDescent="0.25">
      <c r="C351" s="26" t="s">
        <v>0</v>
      </c>
      <c r="E351" s="13"/>
      <c r="F351" s="17">
        <f>SUM(E347:E350)</f>
        <v>624000</v>
      </c>
    </row>
    <row r="352" spans="1:6" s="52" customFormat="1" x14ac:dyDescent="0.25">
      <c r="A352" s="6"/>
      <c r="B352" s="10"/>
      <c r="C352" s="203"/>
      <c r="D352" s="203"/>
      <c r="E352" s="203"/>
      <c r="F352" s="203"/>
    </row>
    <row r="353" spans="1:6" s="52" customFormat="1" x14ac:dyDescent="0.25">
      <c r="A353" s="6"/>
      <c r="B353" s="8"/>
      <c r="C353" s="6"/>
      <c r="D353" s="22" t="s">
        <v>30</v>
      </c>
      <c r="E353" s="69"/>
      <c r="F353" s="70">
        <f>+F280+F290+F300+F309+F319+F330+F340+F344+F351</f>
        <v>10092000</v>
      </c>
    </row>
    <row r="354" spans="1:6" s="52" customFormat="1" ht="18" customHeight="1" x14ac:dyDescent="0.25">
      <c r="A354" s="6"/>
      <c r="B354" s="8"/>
      <c r="C354" s="6"/>
      <c r="D354" s="23" t="s">
        <v>85</v>
      </c>
      <c r="E354" s="72"/>
      <c r="F354" s="72">
        <f>F34+F167+F229+F353+F270</f>
        <v>928440000</v>
      </c>
    </row>
    <row r="355" spans="1:6" s="52" customFormat="1" ht="15.4" customHeight="1" x14ac:dyDescent="0.25">
      <c r="A355" s="98"/>
      <c r="B355" s="104"/>
      <c r="C355" s="202"/>
      <c r="D355" s="202"/>
      <c r="E355" s="202"/>
      <c r="F355" s="202"/>
    </row>
    <row r="356" spans="1:6" s="52" customFormat="1" x14ac:dyDescent="0.25">
      <c r="A356" s="98"/>
      <c r="B356" s="8"/>
      <c r="C356" s="4" t="s">
        <v>31</v>
      </c>
      <c r="D356" s="12"/>
      <c r="E356" s="62"/>
      <c r="F356" s="62"/>
    </row>
    <row r="357" spans="1:6" s="52" customFormat="1" ht="30" customHeight="1" x14ac:dyDescent="0.25">
      <c r="A357" s="98"/>
      <c r="B357" s="10"/>
      <c r="C357" s="142" t="s">
        <v>32</v>
      </c>
      <c r="D357" s="143" t="s">
        <v>33</v>
      </c>
      <c r="E357" s="144"/>
      <c r="F357" s="143" t="s">
        <v>34</v>
      </c>
    </row>
    <row r="358" spans="1:6" s="52" customFormat="1" x14ac:dyDescent="0.25">
      <c r="A358" s="98"/>
      <c r="B358" s="8"/>
      <c r="C358" s="145"/>
      <c r="D358" s="174"/>
      <c r="E358" s="175"/>
      <c r="F358" s="62"/>
    </row>
    <row r="359" spans="1:6" s="52" customFormat="1" x14ac:dyDescent="0.25">
      <c r="A359" s="98"/>
      <c r="B359" s="8"/>
      <c r="C359" s="146" t="s">
        <v>35</v>
      </c>
      <c r="D359" s="147"/>
      <c r="E359" s="148">
        <f>+E360</f>
        <v>15000000</v>
      </c>
      <c r="F359" s="149"/>
    </row>
    <row r="360" spans="1:6" s="52" customFormat="1" x14ac:dyDescent="0.25">
      <c r="A360" s="98"/>
      <c r="B360" s="121">
        <v>4111</v>
      </c>
      <c r="C360" s="150" t="s">
        <v>211</v>
      </c>
      <c r="D360" s="151"/>
      <c r="E360" s="151">
        <v>15000000</v>
      </c>
      <c r="F360" s="64"/>
    </row>
    <row r="361" spans="1:6" s="52" customFormat="1" x14ac:dyDescent="0.25">
      <c r="A361" s="98"/>
      <c r="B361" s="121"/>
      <c r="C361" s="146" t="s">
        <v>36</v>
      </c>
      <c r="D361" s="147"/>
      <c r="E361" s="147">
        <v>2800000</v>
      </c>
      <c r="F361" s="64"/>
    </row>
    <row r="362" spans="1:6" s="52" customFormat="1" x14ac:dyDescent="0.25">
      <c r="A362" s="98"/>
      <c r="B362" s="121">
        <v>4121</v>
      </c>
      <c r="C362" s="152" t="s">
        <v>37</v>
      </c>
      <c r="D362" s="151"/>
      <c r="E362" s="151">
        <v>1850000</v>
      </c>
      <c r="F362" s="64"/>
    </row>
    <row r="363" spans="1:6" s="52" customFormat="1" x14ac:dyDescent="0.25">
      <c r="A363" s="98"/>
      <c r="B363" s="121">
        <v>4122</v>
      </c>
      <c r="C363" s="152" t="s">
        <v>38</v>
      </c>
      <c r="D363" s="151"/>
      <c r="E363" s="151">
        <v>950000</v>
      </c>
      <c r="F363" s="64"/>
    </row>
    <row r="364" spans="1:6" s="52" customFormat="1" x14ac:dyDescent="0.25">
      <c r="A364" s="98"/>
      <c r="B364" s="121"/>
      <c r="C364" s="153" t="s">
        <v>39</v>
      </c>
      <c r="D364" s="154"/>
      <c r="E364" s="154">
        <f>+E365</f>
        <v>50000</v>
      </c>
      <c r="F364" s="64"/>
    </row>
    <row r="365" spans="1:6" s="52" customFormat="1" x14ac:dyDescent="0.25">
      <c r="A365" s="98"/>
      <c r="B365" s="121">
        <v>4144</v>
      </c>
      <c r="C365" s="155" t="s">
        <v>145</v>
      </c>
      <c r="D365" s="151"/>
      <c r="E365" s="151">
        <v>50000</v>
      </c>
      <c r="F365" s="64"/>
    </row>
    <row r="366" spans="1:6" s="52" customFormat="1" x14ac:dyDescent="0.25">
      <c r="A366" s="98"/>
      <c r="B366" s="121"/>
      <c r="C366" s="146" t="s">
        <v>40</v>
      </c>
      <c r="D366" s="147"/>
      <c r="E366" s="147">
        <v>500000</v>
      </c>
      <c r="F366" s="64"/>
    </row>
    <row r="367" spans="1:6" s="52" customFormat="1" x14ac:dyDescent="0.25">
      <c r="A367" s="98"/>
      <c r="B367" s="121">
        <v>4151</v>
      </c>
      <c r="C367" s="152" t="s">
        <v>40</v>
      </c>
      <c r="D367" s="151"/>
      <c r="E367" s="151">
        <v>500000</v>
      </c>
      <c r="F367" s="64"/>
    </row>
    <row r="368" spans="1:6" s="52" customFormat="1" x14ac:dyDescent="0.25">
      <c r="A368" s="98"/>
      <c r="B368" s="121"/>
      <c r="C368" s="146" t="s">
        <v>41</v>
      </c>
      <c r="D368" s="147"/>
      <c r="E368" s="147">
        <v>0</v>
      </c>
      <c r="F368" s="64"/>
    </row>
    <row r="369" spans="1:6" s="52" customFormat="1" x14ac:dyDescent="0.25">
      <c r="A369" s="98"/>
      <c r="B369" s="121">
        <v>4161</v>
      </c>
      <c r="C369" s="152" t="s">
        <v>42</v>
      </c>
      <c r="D369" s="151"/>
      <c r="E369" s="151">
        <v>0</v>
      </c>
      <c r="F369" s="64"/>
    </row>
    <row r="370" spans="1:6" s="52" customFormat="1" x14ac:dyDescent="0.25">
      <c r="A370" s="98"/>
      <c r="B370" s="121"/>
      <c r="C370" s="146" t="s">
        <v>43</v>
      </c>
      <c r="D370" s="147"/>
      <c r="E370" s="147">
        <f>+E371+E372+E373+E374+E375+E376+E377</f>
        <v>14730000</v>
      </c>
      <c r="F370" s="64"/>
    </row>
    <row r="371" spans="1:6" s="52" customFormat="1" x14ac:dyDescent="0.25">
      <c r="A371" s="98"/>
      <c r="B371" s="121">
        <v>4211</v>
      </c>
      <c r="C371" s="152" t="s">
        <v>44</v>
      </c>
      <c r="D371" s="151"/>
      <c r="E371" s="151">
        <v>250000</v>
      </c>
      <c r="F371" s="64"/>
    </row>
    <row r="372" spans="1:6" s="52" customFormat="1" x14ac:dyDescent="0.25">
      <c r="A372" s="98"/>
      <c r="B372" s="121">
        <v>4212</v>
      </c>
      <c r="C372" s="155" t="s">
        <v>45</v>
      </c>
      <c r="D372" s="151"/>
      <c r="E372" s="151">
        <v>1000000</v>
      </c>
      <c r="F372" s="64"/>
    </row>
    <row r="373" spans="1:6" s="52" customFormat="1" x14ac:dyDescent="0.25">
      <c r="A373" s="98"/>
      <c r="B373" s="121">
        <v>4213</v>
      </c>
      <c r="C373" s="155" t="s">
        <v>46</v>
      </c>
      <c r="D373" s="151"/>
      <c r="E373" s="151">
        <v>400000</v>
      </c>
      <c r="F373" s="64"/>
    </row>
    <row r="374" spans="1:6" s="52" customFormat="1" x14ac:dyDescent="0.25">
      <c r="A374" s="98"/>
      <c r="B374" s="121">
        <v>4214</v>
      </c>
      <c r="C374" s="155" t="s">
        <v>47</v>
      </c>
      <c r="D374" s="151"/>
      <c r="E374" s="151">
        <v>600000</v>
      </c>
      <c r="F374" s="64"/>
    </row>
    <row r="375" spans="1:6" s="52" customFormat="1" x14ac:dyDescent="0.25">
      <c r="A375" s="98"/>
      <c r="B375" s="121">
        <v>4215</v>
      </c>
      <c r="C375" s="155" t="s">
        <v>48</v>
      </c>
      <c r="D375" s="151"/>
      <c r="E375" s="151">
        <v>250000</v>
      </c>
      <c r="F375" s="64"/>
    </row>
    <row r="376" spans="1:6" s="52" customFormat="1" x14ac:dyDescent="0.25">
      <c r="A376" s="98"/>
      <c r="B376" s="121">
        <v>4216</v>
      </c>
      <c r="C376" s="155" t="s">
        <v>49</v>
      </c>
      <c r="D376" s="151"/>
      <c r="E376" s="151">
        <f>4980000+7000000</f>
        <v>11980000</v>
      </c>
      <c r="F376" s="64"/>
    </row>
    <row r="377" spans="1:6" s="52" customFormat="1" x14ac:dyDescent="0.25">
      <c r="A377" s="98"/>
      <c r="B377" s="121">
        <v>4219</v>
      </c>
      <c r="C377" s="155" t="s">
        <v>50</v>
      </c>
      <c r="D377" s="151"/>
      <c r="E377" s="151">
        <v>250000</v>
      </c>
      <c r="F377" s="64"/>
    </row>
    <row r="378" spans="1:6" s="52" customFormat="1" x14ac:dyDescent="0.25">
      <c r="A378" s="98"/>
      <c r="B378" s="121"/>
      <c r="C378" s="146" t="s">
        <v>51</v>
      </c>
      <c r="D378" s="147"/>
      <c r="E378" s="147">
        <f>+E379+E380+E381+E382</f>
        <v>4000000</v>
      </c>
      <c r="F378" s="64"/>
    </row>
    <row r="379" spans="1:6" s="52" customFormat="1" x14ac:dyDescent="0.25">
      <c r="A379" s="98"/>
      <c r="B379" s="121">
        <v>4221</v>
      </c>
      <c r="C379" s="152" t="s">
        <v>52</v>
      </c>
      <c r="D379" s="151"/>
      <c r="E379" s="151">
        <v>700000</v>
      </c>
      <c r="F379" s="64"/>
    </row>
    <row r="380" spans="1:6" s="52" customFormat="1" x14ac:dyDescent="0.25">
      <c r="A380" s="98"/>
      <c r="B380" s="121">
        <v>4222</v>
      </c>
      <c r="C380" s="152" t="s">
        <v>53</v>
      </c>
      <c r="D380" s="151"/>
      <c r="E380" s="151">
        <f>4000000-1450000</f>
        <v>2550000</v>
      </c>
      <c r="F380" s="64"/>
    </row>
    <row r="381" spans="1:6" s="52" customFormat="1" x14ac:dyDescent="0.25">
      <c r="A381" s="98"/>
      <c r="B381" s="121">
        <v>4223</v>
      </c>
      <c r="C381" s="152" t="s">
        <v>54</v>
      </c>
      <c r="D381" s="151"/>
      <c r="E381" s="151">
        <v>500000</v>
      </c>
      <c r="F381" s="64"/>
    </row>
    <row r="382" spans="1:6" s="52" customFormat="1" x14ac:dyDescent="0.25">
      <c r="A382" s="98"/>
      <c r="B382" s="121">
        <v>4229</v>
      </c>
      <c r="C382" s="152" t="s">
        <v>55</v>
      </c>
      <c r="D382" s="151"/>
      <c r="E382" s="151">
        <v>250000</v>
      </c>
      <c r="F382" s="64"/>
    </row>
    <row r="383" spans="1:6" s="52" customFormat="1" x14ac:dyDescent="0.25">
      <c r="A383" s="98"/>
      <c r="B383" s="121"/>
      <c r="C383" s="146" t="s">
        <v>56</v>
      </c>
      <c r="D383" s="147"/>
      <c r="E383" s="147">
        <f>+E384+E385+E386+E387+E388+E389+E390</f>
        <v>29600000</v>
      </c>
      <c r="F383" s="64"/>
    </row>
    <row r="384" spans="1:6" s="52" customFormat="1" x14ac:dyDescent="0.25">
      <c r="A384" s="98"/>
      <c r="B384" s="121">
        <v>4231</v>
      </c>
      <c r="C384" s="155" t="s">
        <v>57</v>
      </c>
      <c r="D384" s="151"/>
      <c r="E384" s="151">
        <v>3000000</v>
      </c>
      <c r="F384" s="64"/>
    </row>
    <row r="385" spans="1:6" s="52" customFormat="1" x14ac:dyDescent="0.25">
      <c r="A385" s="98"/>
      <c r="B385" s="121">
        <v>4232</v>
      </c>
      <c r="C385" s="155" t="s">
        <v>58</v>
      </c>
      <c r="D385" s="151"/>
      <c r="E385" s="151">
        <v>2200000</v>
      </c>
      <c r="F385" s="64"/>
    </row>
    <row r="386" spans="1:6" s="52" customFormat="1" x14ac:dyDescent="0.25">
      <c r="A386" s="98"/>
      <c r="B386" s="121">
        <v>4233</v>
      </c>
      <c r="C386" s="152" t="s">
        <v>59</v>
      </c>
      <c r="D386" s="151"/>
      <c r="E386" s="151">
        <v>400000</v>
      </c>
      <c r="F386" s="64"/>
    </row>
    <row r="387" spans="1:6" s="134" customFormat="1" x14ac:dyDescent="0.25">
      <c r="A387" s="99"/>
      <c r="B387" s="121">
        <v>4234</v>
      </c>
      <c r="C387" s="155" t="s">
        <v>60</v>
      </c>
      <c r="D387" s="151"/>
      <c r="E387" s="151">
        <v>6000000</v>
      </c>
      <c r="F387" s="72"/>
    </row>
    <row r="388" spans="1:6" s="52" customFormat="1" x14ac:dyDescent="0.25">
      <c r="A388" s="98"/>
      <c r="B388" s="121">
        <v>4235</v>
      </c>
      <c r="C388" s="155" t="s">
        <v>61</v>
      </c>
      <c r="D388" s="151"/>
      <c r="E388" s="151">
        <v>7000000</v>
      </c>
      <c r="F388" s="64"/>
    </row>
    <row r="389" spans="1:6" s="52" customFormat="1" x14ac:dyDescent="0.25">
      <c r="A389" s="98"/>
      <c r="B389" s="121">
        <v>4237</v>
      </c>
      <c r="C389" s="155" t="s">
        <v>62</v>
      </c>
      <c r="D389" s="151"/>
      <c r="E389" s="151">
        <v>2000000</v>
      </c>
      <c r="F389" s="64"/>
    </row>
    <row r="390" spans="1:6" s="52" customFormat="1" x14ac:dyDescent="0.25">
      <c r="A390" s="98"/>
      <c r="B390" s="121">
        <v>4239</v>
      </c>
      <c r="C390" s="155" t="s">
        <v>63</v>
      </c>
      <c r="D390" s="151"/>
      <c r="E390" s="151">
        <v>9000000</v>
      </c>
      <c r="F390" s="64"/>
    </row>
    <row r="391" spans="1:6" s="52" customFormat="1" x14ac:dyDescent="0.25">
      <c r="A391" s="98"/>
      <c r="B391" s="121"/>
      <c r="C391" s="146" t="s">
        <v>64</v>
      </c>
      <c r="D391" s="147"/>
      <c r="E391" s="147">
        <f>+E392</f>
        <v>0</v>
      </c>
      <c r="F391" s="64"/>
    </row>
    <row r="392" spans="1:6" s="52" customFormat="1" x14ac:dyDescent="0.25">
      <c r="A392" s="98"/>
      <c r="B392" s="121">
        <v>4242</v>
      </c>
      <c r="C392" s="152" t="s">
        <v>65</v>
      </c>
      <c r="D392" s="151"/>
      <c r="E392" s="151">
        <v>0</v>
      </c>
      <c r="F392" s="72"/>
    </row>
    <row r="393" spans="1:6" s="52" customFormat="1" x14ac:dyDescent="0.25">
      <c r="A393" s="98"/>
      <c r="B393" s="121"/>
      <c r="C393" s="146" t="s">
        <v>66</v>
      </c>
      <c r="D393" s="147"/>
      <c r="E393" s="147">
        <f>+E394+E395</f>
        <v>1200000</v>
      </c>
      <c r="F393" s="64"/>
    </row>
    <row r="394" spans="1:6" s="52" customFormat="1" x14ac:dyDescent="0.25">
      <c r="A394" s="98"/>
      <c r="B394" s="121">
        <v>4251</v>
      </c>
      <c r="C394" s="152" t="s">
        <v>67</v>
      </c>
      <c r="D394" s="151"/>
      <c r="E394" s="151">
        <v>1000000</v>
      </c>
      <c r="F394" s="64"/>
    </row>
    <row r="395" spans="1:6" s="52" customFormat="1" x14ac:dyDescent="0.25">
      <c r="A395" s="98"/>
      <c r="B395" s="121">
        <v>4252</v>
      </c>
      <c r="C395" s="152" t="s">
        <v>68</v>
      </c>
      <c r="D395" s="151"/>
      <c r="E395" s="151">
        <v>200000</v>
      </c>
      <c r="F395" s="64"/>
    </row>
    <row r="396" spans="1:6" s="52" customFormat="1" x14ac:dyDescent="0.25">
      <c r="A396" s="98"/>
      <c r="B396" s="121"/>
      <c r="C396" s="146" t="s">
        <v>69</v>
      </c>
      <c r="D396" s="147"/>
      <c r="E396" s="147">
        <f>+E397+E398+E399+E400+E401</f>
        <v>1700000</v>
      </c>
      <c r="F396" s="64"/>
    </row>
    <row r="397" spans="1:6" s="52" customFormat="1" x14ac:dyDescent="0.25">
      <c r="A397" s="98"/>
      <c r="B397" s="121">
        <v>4261</v>
      </c>
      <c r="C397" s="155" t="s">
        <v>70</v>
      </c>
      <c r="D397" s="151"/>
      <c r="E397" s="151">
        <v>800000</v>
      </c>
      <c r="F397" s="64"/>
    </row>
    <row r="398" spans="1:6" s="52" customFormat="1" x14ac:dyDescent="0.25">
      <c r="A398" s="98"/>
      <c r="B398" s="121">
        <v>4263</v>
      </c>
      <c r="C398" s="152" t="s">
        <v>71</v>
      </c>
      <c r="D398" s="151"/>
      <c r="E398" s="151">
        <v>300000</v>
      </c>
      <c r="F398" s="64"/>
    </row>
    <row r="399" spans="1:6" s="52" customFormat="1" x14ac:dyDescent="0.25">
      <c r="A399" s="98"/>
      <c r="B399" s="121">
        <v>4264</v>
      </c>
      <c r="C399" s="152" t="s">
        <v>143</v>
      </c>
      <c r="D399" s="151"/>
      <c r="E399" s="151">
        <v>0</v>
      </c>
      <c r="F399" s="64"/>
    </row>
    <row r="400" spans="1:6" s="52" customFormat="1" x14ac:dyDescent="0.25">
      <c r="A400" s="98"/>
      <c r="B400" s="121">
        <v>4266</v>
      </c>
      <c r="C400" s="152" t="s">
        <v>72</v>
      </c>
      <c r="D400" s="151"/>
      <c r="E400" s="151">
        <v>0</v>
      </c>
      <c r="F400" s="64"/>
    </row>
    <row r="401" spans="1:6" s="52" customFormat="1" x14ac:dyDescent="0.25">
      <c r="A401" s="98"/>
      <c r="B401" s="121">
        <v>4268</v>
      </c>
      <c r="C401" s="152" t="s">
        <v>73</v>
      </c>
      <c r="D401" s="151"/>
      <c r="E401" s="151">
        <v>600000</v>
      </c>
      <c r="F401" s="64"/>
    </row>
    <row r="402" spans="1:6" s="52" customFormat="1" x14ac:dyDescent="0.25">
      <c r="A402" s="98"/>
      <c r="B402" s="121"/>
      <c r="C402" s="156" t="s">
        <v>74</v>
      </c>
      <c r="D402" s="154"/>
      <c r="E402" s="154">
        <v>100000</v>
      </c>
      <c r="F402" s="64"/>
    </row>
    <row r="403" spans="1:6" s="52" customFormat="1" x14ac:dyDescent="0.25">
      <c r="A403" s="98"/>
      <c r="B403" s="121">
        <v>4822</v>
      </c>
      <c r="C403" s="152" t="s">
        <v>75</v>
      </c>
      <c r="D403" s="151"/>
      <c r="E403" s="151">
        <v>100000</v>
      </c>
      <c r="F403" s="64"/>
    </row>
    <row r="404" spans="1:6" s="52" customFormat="1" x14ac:dyDescent="0.25">
      <c r="A404" s="98"/>
      <c r="B404" s="121"/>
      <c r="C404" s="156" t="s">
        <v>221</v>
      </c>
      <c r="D404" s="151"/>
      <c r="E404" s="151"/>
      <c r="F404" s="72">
        <f>+F405</f>
        <v>0</v>
      </c>
    </row>
    <row r="405" spans="1:6" s="52" customFormat="1" x14ac:dyDescent="0.25">
      <c r="A405" s="98"/>
      <c r="B405" s="121">
        <v>5113</v>
      </c>
      <c r="C405" s="152" t="s">
        <v>144</v>
      </c>
      <c r="D405" s="151"/>
      <c r="E405" s="151"/>
      <c r="F405" s="64">
        <v>0</v>
      </c>
    </row>
    <row r="406" spans="1:6" s="52" customFormat="1" x14ac:dyDescent="0.25">
      <c r="A406" s="98"/>
      <c r="B406" s="121"/>
      <c r="C406" s="156" t="s">
        <v>76</v>
      </c>
      <c r="D406" s="151"/>
      <c r="E406" s="151"/>
      <c r="F406" s="72">
        <f>+F407+F408</f>
        <v>600000</v>
      </c>
    </row>
    <row r="407" spans="1:6" s="52" customFormat="1" ht="24" customHeight="1" x14ac:dyDescent="0.25">
      <c r="A407" s="98"/>
      <c r="B407" s="121">
        <v>5121</v>
      </c>
      <c r="C407" s="152" t="s">
        <v>222</v>
      </c>
      <c r="D407" s="151"/>
      <c r="E407" s="151"/>
      <c r="F407" s="64">
        <v>0</v>
      </c>
    </row>
    <row r="408" spans="1:6" s="52" customFormat="1" x14ac:dyDescent="0.25">
      <c r="A408" s="98"/>
      <c r="B408" s="121">
        <v>5126</v>
      </c>
      <c r="C408" s="152" t="s">
        <v>223</v>
      </c>
      <c r="D408" s="151"/>
      <c r="E408" s="151"/>
      <c r="F408" s="64">
        <v>600000</v>
      </c>
    </row>
    <row r="409" spans="1:6" x14ac:dyDescent="0.25">
      <c r="A409" s="98"/>
      <c r="B409" s="10"/>
      <c r="C409" s="157"/>
      <c r="D409" s="158"/>
      <c r="E409" s="158"/>
      <c r="F409" s="67"/>
    </row>
    <row r="410" spans="1:6" x14ac:dyDescent="0.25">
      <c r="A410" s="98"/>
      <c r="C410" s="16" t="s">
        <v>84</v>
      </c>
      <c r="D410" s="159">
        <f>+D359+D361+D364+D366+D370+D378+D383+D391+D393+D396+D402</f>
        <v>0</v>
      </c>
      <c r="E410" s="159">
        <f>+E359+E361+E364+E366+E370+E378+E383+E391+E393+E396+E402</f>
        <v>69680000</v>
      </c>
      <c r="F410" s="159">
        <f>+F404+F406</f>
        <v>600000</v>
      </c>
    </row>
    <row r="411" spans="1:6" x14ac:dyDescent="0.25">
      <c r="A411" s="98"/>
      <c r="C411" s="16"/>
      <c r="D411" s="159"/>
      <c r="E411" s="64"/>
      <c r="F411" s="159"/>
    </row>
    <row r="412" spans="1:6" x14ac:dyDescent="0.25">
      <c r="A412" s="98"/>
      <c r="C412" s="4" t="s">
        <v>180</v>
      </c>
      <c r="D412" s="5"/>
      <c r="E412" s="62"/>
    </row>
    <row r="413" spans="1:6" ht="18" customHeight="1" x14ac:dyDescent="0.25">
      <c r="A413" s="98"/>
      <c r="D413" s="5"/>
      <c r="E413" s="64"/>
    </row>
    <row r="414" spans="1:6" x14ac:dyDescent="0.25">
      <c r="A414" s="98"/>
      <c r="C414" s="8" t="s">
        <v>77</v>
      </c>
      <c r="D414" s="9"/>
      <c r="E414" s="72">
        <v>855362000</v>
      </c>
    </row>
    <row r="415" spans="1:6" x14ac:dyDescent="0.25">
      <c r="A415" s="98"/>
      <c r="C415" s="8" t="s">
        <v>82</v>
      </c>
      <c r="D415" s="9"/>
      <c r="E415" s="72">
        <v>42067000</v>
      </c>
    </row>
    <row r="416" spans="1:6" x14ac:dyDescent="0.25">
      <c r="A416" s="98"/>
      <c r="C416" s="8" t="s">
        <v>123</v>
      </c>
      <c r="D416" s="9"/>
      <c r="E416" s="72">
        <v>18220000</v>
      </c>
    </row>
    <row r="417" spans="1:6" x14ac:dyDescent="0.25">
      <c r="A417" s="98"/>
      <c r="C417" s="8" t="s">
        <v>213</v>
      </c>
      <c r="D417" s="9"/>
      <c r="E417" s="72">
        <v>2699000</v>
      </c>
    </row>
    <row r="418" spans="1:6" x14ac:dyDescent="0.25">
      <c r="A418" s="98"/>
      <c r="C418" s="8" t="s">
        <v>78</v>
      </c>
      <c r="D418" s="9"/>
      <c r="E418" s="72">
        <v>10092000</v>
      </c>
    </row>
    <row r="419" spans="1:6" x14ac:dyDescent="0.25">
      <c r="A419" s="98"/>
      <c r="C419" s="8" t="s">
        <v>79</v>
      </c>
      <c r="D419" s="9"/>
      <c r="E419" s="72">
        <v>69680000</v>
      </c>
    </row>
    <row r="420" spans="1:6" x14ac:dyDescent="0.25">
      <c r="A420" s="98"/>
      <c r="C420" s="8" t="s">
        <v>80</v>
      </c>
      <c r="D420" s="9"/>
      <c r="E420" s="72">
        <v>600000</v>
      </c>
    </row>
    <row r="421" spans="1:6" x14ac:dyDescent="0.25">
      <c r="A421" s="98"/>
      <c r="B421" s="10"/>
      <c r="C421" s="10"/>
      <c r="D421" s="11"/>
      <c r="E421" s="67"/>
      <c r="F421" s="67"/>
    </row>
    <row r="422" spans="1:6" x14ac:dyDescent="0.25">
      <c r="A422" s="98"/>
      <c r="C422" s="16" t="s">
        <v>87</v>
      </c>
      <c r="D422" s="9"/>
      <c r="E422" s="72">
        <f>SUM(E414:E421)</f>
        <v>998720000</v>
      </c>
      <c r="F422" s="160"/>
    </row>
    <row r="423" spans="1:6" x14ac:dyDescent="0.25">
      <c r="A423" s="98"/>
      <c r="E423" s="64"/>
    </row>
    <row r="424" spans="1:6" x14ac:dyDescent="0.25">
      <c r="A424" s="98"/>
      <c r="E424" s="64"/>
    </row>
    <row r="425" spans="1:6" x14ac:dyDescent="0.25">
      <c r="A425" s="98"/>
      <c r="E425" s="64"/>
    </row>
    <row r="426" spans="1:6" x14ac:dyDescent="0.25">
      <c r="A426" s="98"/>
      <c r="C426" s="6" t="s">
        <v>392</v>
      </c>
      <c r="D426" s="161" t="s">
        <v>388</v>
      </c>
      <c r="E426" s="64"/>
    </row>
    <row r="427" spans="1:6" ht="28.5" customHeight="1" x14ac:dyDescent="0.25">
      <c r="A427" s="98"/>
      <c r="D427" s="161" t="s">
        <v>336</v>
      </c>
      <c r="E427" s="64"/>
    </row>
  </sheetData>
  <autoFilter ref="A1:A427" xr:uid="{00000000-0009-0000-0000-000000000000}"/>
  <mergeCells count="50">
    <mergeCell ref="C199:F199"/>
    <mergeCell ref="C355:F355"/>
    <mergeCell ref="C352:F352"/>
    <mergeCell ref="C205:F205"/>
    <mergeCell ref="C272:D272"/>
    <mergeCell ref="C210:F210"/>
    <mergeCell ref="C220:F220"/>
    <mergeCell ref="C215:F215"/>
    <mergeCell ref="C263:F263"/>
    <mergeCell ref="C231:F231"/>
    <mergeCell ref="C240:F240"/>
    <mergeCell ref="C247:F247"/>
    <mergeCell ref="C255:F255"/>
    <mergeCell ref="C225:F225"/>
    <mergeCell ref="C233:F233"/>
    <mergeCell ref="C43:F43"/>
    <mergeCell ref="C54:F54"/>
    <mergeCell ref="C273:D273"/>
    <mergeCell ref="C262:D262"/>
    <mergeCell ref="B203:E203"/>
    <mergeCell ref="C177:D177"/>
    <mergeCell ref="C176:F176"/>
    <mergeCell ref="C182:F182"/>
    <mergeCell ref="C171:F171"/>
    <mergeCell ref="C194:F194"/>
    <mergeCell ref="B197:E197"/>
    <mergeCell ref="C185:F185"/>
    <mergeCell ref="C192:F192"/>
    <mergeCell ref="C187:F187"/>
    <mergeCell ref="C64:F64"/>
    <mergeCell ref="C77:F77"/>
    <mergeCell ref="C1:E1"/>
    <mergeCell ref="C2:E2"/>
    <mergeCell ref="C15:F15"/>
    <mergeCell ref="C38:F38"/>
    <mergeCell ref="C42:D42"/>
    <mergeCell ref="C92:E92"/>
    <mergeCell ref="C97:F97"/>
    <mergeCell ref="C106:D106"/>
    <mergeCell ref="A74:C74"/>
    <mergeCell ref="A89:C89"/>
    <mergeCell ref="C144:F144"/>
    <mergeCell ref="C153:F153"/>
    <mergeCell ref="C158:F158"/>
    <mergeCell ref="C163:F163"/>
    <mergeCell ref="C107:F107"/>
    <mergeCell ref="C117:F117"/>
    <mergeCell ref="C126:F126"/>
    <mergeCell ref="C138:F138"/>
    <mergeCell ref="C143:D143"/>
  </mergeCells>
  <phoneticPr fontId="3" type="noConversion"/>
  <pageMargins left="0.19685039370078741" right="0" top="0" bottom="0" header="0.31496062992125984" footer="0.31496062992125984"/>
  <pageSetup paperSize="9" scale="65" fitToHeight="0" orientation="landscape" r:id="rId1"/>
  <rowBreaks count="13" manualBreakCount="13">
    <brk id="34" max="16383" man="1"/>
    <brk id="61" max="16383" man="1"/>
    <brk id="90" max="16383" man="1"/>
    <brk id="124" max="16383" man="1"/>
    <brk id="142" max="16383" man="1"/>
    <brk id="167" max="16383" man="1"/>
    <brk id="202" max="16383" man="1"/>
    <brk id="229" max="16383" man="1"/>
    <brk id="261" max="16383" man="1"/>
    <brk id="270" max="16383" man="1"/>
    <brk id="309" max="16383" man="1"/>
    <brk id="354" max="16383" man="1"/>
    <brk id="401"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opsezi</vt:lpstr>
      </vt:variant>
      <vt:variant>
        <vt:i4>1</vt:i4>
      </vt:variant>
    </vt:vector>
  </HeadingPairs>
  <TitlesOfParts>
    <vt:vector size="2" baseType="lpstr">
      <vt:lpstr>фЦС ПЛАН 2024.</vt:lpstr>
      <vt:lpstr>'фЦС ПЛАН 2024.'!Oblast_štampanja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2024-01-24T10:58:45Z</cp:lastPrinted>
  <dcterms:created xsi:type="dcterms:W3CDTF">2015-01-09T09:45:15Z</dcterms:created>
  <dcterms:modified xsi:type="dcterms:W3CDTF">2024-01-24T11:25:15Z</dcterms:modified>
</cp:coreProperties>
</file>