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showInkAnnotation="0" autoCompressPictures="0"/>
  <mc:AlternateContent xmlns:mc="http://schemas.openxmlformats.org/markup-compatibility/2006">
    <mc:Choice Requires="x15">
      <x15ac:absPath xmlns:x15ac="http://schemas.microsoft.com/office/spreadsheetml/2010/11/ac" url="C:\Users\Bojan\Desktop\уговор о финансирању 2024\Aneks 2\"/>
    </mc:Choice>
  </mc:AlternateContent>
  <xr:revisionPtr revIDLastSave="0" documentId="13_ncr:1_{DFEB51B1-44DE-4ED7-9FDB-24CD43697B79}" xr6:coauthVersionLast="47" xr6:coauthVersionMax="47" xr10:uidLastSave="{00000000-0000-0000-0000-000000000000}"/>
  <bookViews>
    <workbookView xWindow="-120" yWindow="-120" windowWidth="29040" windowHeight="15840" tabRatio="793" xr2:uid="{00000000-000D-0000-FFFF-FFFF00000000}"/>
  </bookViews>
  <sheets>
    <sheet name="фЦС ПЛАН 2024." sheetId="6" r:id="rId1"/>
  </sheets>
  <definedNames>
    <definedName name="_xlnm._FilterDatabase" localSheetId="0" hidden="1">'фЦС ПЛАН 2024.'!$A$1:$A$448</definedName>
    <definedName name="_ftn1" localSheetId="0">'фЦС ПЛАН 2024.'!#REF!</definedName>
    <definedName name="_ftnref1" localSheetId="0">'фЦС ПЛАН 2024.'!#REF!</definedName>
    <definedName name="_xlnm.Print_Area" localSheetId="0">'фЦС ПЛАН 2024.'!$A$1:$F$451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D6" i="6" l="1"/>
  <c r="F173" i="6" l="1"/>
  <c r="E160" i="6"/>
  <c r="E165" i="6"/>
  <c r="E391" i="6" l="1"/>
  <c r="E300" i="6"/>
  <c r="F208" i="6"/>
  <c r="F223" i="6"/>
  <c r="E443" i="6"/>
  <c r="E385" i="6"/>
  <c r="E412" i="6"/>
  <c r="E417" i="6"/>
  <c r="E414" i="6"/>
  <c r="E404" i="6"/>
  <c r="E401" i="6"/>
  <c r="E399" i="6" s="1"/>
  <c r="E380" i="6"/>
  <c r="D66" i="6"/>
  <c r="E48" i="6"/>
  <c r="E46" i="6"/>
  <c r="E45" i="6"/>
  <c r="E217" i="6"/>
  <c r="F218" i="6" s="1"/>
  <c r="E47" i="6"/>
  <c r="E49" i="6"/>
  <c r="E227" i="6"/>
  <c r="F228" i="6" s="1"/>
  <c r="E30" i="6"/>
  <c r="E26" i="6"/>
  <c r="E18" i="6"/>
  <c r="E17" i="6"/>
  <c r="E19" i="6"/>
  <c r="E31" i="6"/>
  <c r="F41" i="6"/>
  <c r="F100" i="6"/>
  <c r="F156" i="6"/>
  <c r="F179" i="6"/>
  <c r="F185" i="6"/>
  <c r="F190" i="6"/>
  <c r="F202" i="6"/>
  <c r="F213" i="6"/>
  <c r="F233" i="6"/>
  <c r="F271" i="6"/>
  <c r="F425" i="6"/>
  <c r="F427" i="6"/>
  <c r="E361" i="6"/>
  <c r="E360" i="6"/>
  <c r="E359" i="6"/>
  <c r="E358" i="6"/>
  <c r="E287" i="6"/>
  <c r="E288" i="6"/>
  <c r="E289" i="6"/>
  <c r="E295" i="6"/>
  <c r="E296" i="6"/>
  <c r="E297" i="6"/>
  <c r="E298" i="6"/>
  <c r="E299" i="6"/>
  <c r="E305" i="6"/>
  <c r="E306" i="6"/>
  <c r="E307" i="6"/>
  <c r="E308" i="6"/>
  <c r="E309" i="6"/>
  <c r="E310" i="6"/>
  <c r="E315" i="6"/>
  <c r="E316" i="6"/>
  <c r="E317" i="6"/>
  <c r="E318" i="6"/>
  <c r="E319" i="6"/>
  <c r="E324" i="6"/>
  <c r="E325" i="6"/>
  <c r="E326" i="6"/>
  <c r="E327" i="6"/>
  <c r="E328" i="6"/>
  <c r="E329" i="6"/>
  <c r="E334" i="6"/>
  <c r="E335" i="6"/>
  <c r="E336" i="6"/>
  <c r="E337" i="6"/>
  <c r="E338" i="6"/>
  <c r="E339" i="6"/>
  <c r="E340" i="6"/>
  <c r="E345" i="6"/>
  <c r="E346" i="6"/>
  <c r="E347" i="6"/>
  <c r="E348" i="6"/>
  <c r="E349" i="6"/>
  <c r="E350" i="6"/>
  <c r="E354" i="6"/>
  <c r="F355" i="6" s="1"/>
  <c r="E69" i="6"/>
  <c r="E70" i="6"/>
  <c r="E71" i="6"/>
  <c r="E72" i="6"/>
  <c r="E73" i="6"/>
  <c r="E74" i="6"/>
  <c r="E56" i="6"/>
  <c r="E57" i="6"/>
  <c r="E59" i="6"/>
  <c r="E60" i="6"/>
  <c r="E61" i="6"/>
  <c r="E79" i="6"/>
  <c r="E80" i="6"/>
  <c r="E83" i="6"/>
  <c r="E84" i="6"/>
  <c r="E85" i="6"/>
  <c r="E86" i="6"/>
  <c r="E87" i="6"/>
  <c r="E94" i="6"/>
  <c r="F95" i="6" s="1"/>
  <c r="E103" i="6"/>
  <c r="E104" i="6"/>
  <c r="E109" i="6"/>
  <c r="E110" i="6"/>
  <c r="E111" i="6"/>
  <c r="E112" i="6"/>
  <c r="E114" i="6"/>
  <c r="E119" i="6"/>
  <c r="E120" i="6"/>
  <c r="E121" i="6"/>
  <c r="E123" i="6"/>
  <c r="E128" i="6"/>
  <c r="E129" i="6"/>
  <c r="E130" i="6"/>
  <c r="E131" i="6"/>
  <c r="E140" i="6"/>
  <c r="F142" i="6" s="1"/>
  <c r="E146" i="6"/>
  <c r="E147" i="6"/>
  <c r="E149" i="6"/>
  <c r="E150" i="6"/>
  <c r="F161" i="6"/>
  <c r="F166" i="6"/>
  <c r="E196" i="6"/>
  <c r="E246" i="6"/>
  <c r="E247" i="6"/>
  <c r="E248" i="6"/>
  <c r="E252" i="6"/>
  <c r="E253" i="6"/>
  <c r="E254" i="6"/>
  <c r="E259" i="6"/>
  <c r="E260" i="6"/>
  <c r="E261" i="6"/>
  <c r="E277" i="6"/>
  <c r="F279" i="6" s="1"/>
  <c r="F35" i="6" l="1"/>
  <c r="F240" i="6"/>
  <c r="F291" i="6"/>
  <c r="D431" i="6"/>
  <c r="E431" i="6"/>
  <c r="F255" i="6"/>
  <c r="F362" i="6"/>
  <c r="F151" i="6"/>
  <c r="F320" i="6"/>
  <c r="D68" i="6"/>
  <c r="F263" i="6"/>
  <c r="F249" i="6"/>
  <c r="F136" i="6"/>
  <c r="F124" i="6"/>
  <c r="F105" i="6"/>
  <c r="F431" i="6"/>
  <c r="D11" i="6" s="1"/>
  <c r="F374" i="6" l="1"/>
  <c r="D5" i="6"/>
  <c r="F281" i="6"/>
  <c r="D7" i="6"/>
  <c r="F375" i="6" l="1"/>
  <c r="D8" i="6"/>
  <c r="D13" i="6" l="1"/>
  <c r="E5" i="6" s="1"/>
  <c r="E11" i="6" l="1"/>
  <c r="E6" i="6"/>
  <c r="E9" i="6"/>
  <c r="E8" i="6"/>
  <c r="E7" i="6"/>
  <c r="E10" i="6"/>
  <c r="E13" i="6" l="1"/>
</calcChain>
</file>

<file path=xl/sharedStrings.xml><?xml version="1.0" encoding="utf-8"?>
<sst xmlns="http://schemas.openxmlformats.org/spreadsheetml/2006/main" count="543" uniqueCount="407">
  <si>
    <t>ТОТАЛ</t>
  </si>
  <si>
    <t>Слање филмова и осталих материјала за селекцију</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</si>
  <si>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</si>
  <si>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</si>
  <si>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</si>
  <si>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</si>
  <si>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</si>
  <si>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</si>
  <si>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</si>
  <si>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</si>
  <si>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</si>
  <si>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</si>
  <si>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</si>
  <si>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</si>
  <si>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</si>
  <si>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</si>
  <si>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</si>
  <si>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</si>
  <si>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</si>
  <si>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</si>
  <si>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</si>
  <si>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</si>
  <si>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</si>
  <si>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</si>
  <si>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</si>
  <si>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</si>
  <si>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</si>
  <si>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</si>
  <si>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</si>
  <si>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</si>
  <si>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</si>
  <si>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</si>
  <si>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</si>
  <si>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</si>
  <si>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</si>
  <si>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</si>
  <si>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</si>
  <si>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</si>
  <si>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</si>
  <si>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</si>
  <si>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</si>
  <si>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</si>
  <si>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</si>
  <si>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</si>
  <si>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</si>
  <si>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</si>
  <si>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</si>
  <si>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</si>
  <si>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</si>
  <si>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</si>
  <si>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</si>
  <si>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</si>
  <si>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</si>
  <si>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</si>
  <si>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</si>
  <si>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</si>
  <si>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</si>
  <si>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</si>
  <si>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</si>
  <si>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</si>
  <si>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</si>
  <si>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</si>
  <si>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</si>
  <si>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</si>
  <si>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</si>
  <si>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</si>
  <si>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</si>
  <si>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</si>
  <si>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</si>
  <si>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</si>
  <si>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</si>
  <si>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</si>
  <si>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</si>
  <si>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</si>
  <si>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</si>
  <si>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</si>
  <si>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</si>
  <si>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</si>
  <si>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</si>
  <si>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</si>
  <si>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</si>
  <si>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</si>
  <si>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</si>
  <si>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Филмски центар Србије</t>
  </si>
  <si>
    <t>ТОТАЛ РЕДОВНА ДЕЛАТНОСТ И ИНВЕСТИЦИЈЕ</t>
  </si>
  <si>
    <t xml:space="preserve">ТОТАЛ ПРОГРАМИ </t>
  </si>
  <si>
    <t>Ауторска права</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</si>
  <si>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</si>
  <si>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</si>
  <si>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</si>
  <si>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</si>
  <si>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</si>
  <si>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</si>
  <si>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</si>
  <si>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</si>
  <si>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</si>
  <si>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</si>
  <si>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</si>
  <si>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Лекутра/коректура</t>
  </si>
  <si>
    <t>Прелом и дизајн</t>
  </si>
  <si>
    <t>Ауторски хонорар</t>
  </si>
  <si>
    <t>Фонд за подршку, подстицање и промоцију српског филма у земљи и свету</t>
  </si>
  <si>
    <t xml:space="preserve">Дневнице за представникe ФЦС </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</si>
  <si>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</si>
  <si>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</si>
  <si>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</si>
  <si>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</si>
  <si>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</si>
  <si>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Смештај за учеснике</t>
  </si>
  <si>
    <t>Занатске радионице за неформално образовање</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</si>
  <si>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</si>
  <si>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</si>
  <si>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</si>
  <si>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</si>
  <si>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</si>
  <si>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</si>
  <si>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</si>
  <si>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Путни трошкови - 6 авионских карата</t>
  </si>
  <si>
    <t>Aкредитације за учеснике</t>
  </si>
  <si>
    <t>ДОМАЋА САРАДЊA</t>
  </si>
  <si>
    <t>Чланство у Европској филмској промоцији (European Film Promotion)</t>
  </si>
  <si>
    <t>МЕЂУНАРОДНА САРАДЊА</t>
  </si>
  <si>
    <t>TОТАЛ ДОМАЋА САРАДЊА</t>
  </si>
  <si>
    <t>ДОМАЋА САРАДЊА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</si>
  <si>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</si>
  <si>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</si>
  <si>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</si>
  <si>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</si>
  <si>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</si>
  <si>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</si>
  <si>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</si>
  <si>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</si>
  <si>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2.5.</t>
  </si>
  <si>
    <t>2.10.</t>
  </si>
  <si>
    <t>3.1.</t>
  </si>
  <si>
    <t>3.2.</t>
  </si>
  <si>
    <t>3.3.</t>
  </si>
  <si>
    <t>3.4.</t>
  </si>
  <si>
    <t>3.5.</t>
  </si>
  <si>
    <t>3.6.</t>
  </si>
  <si>
    <t>3.7.</t>
  </si>
  <si>
    <t>3.8.</t>
  </si>
  <si>
    <t>3.9.</t>
  </si>
  <si>
    <t>Материјали за саобраћај</t>
  </si>
  <si>
    <t>Капитално одржавање зграда и објеката</t>
  </si>
  <si>
    <t>Помоћ у медицинском лечењу запосленог</t>
  </si>
  <si>
    <t>500 EUR.</t>
  </si>
  <si>
    <t>30.000 RSD.</t>
  </si>
  <si>
    <t>5.000 EUR.</t>
  </si>
  <si>
    <t>3500 EUR.</t>
  </si>
  <si>
    <t>2500 EUR.</t>
  </si>
  <si>
    <t>800 EUR.</t>
  </si>
  <si>
    <t>3000 EUR.</t>
  </si>
  <si>
    <t>2000 EUR.</t>
  </si>
  <si>
    <t>1000 EUR.</t>
  </si>
  <si>
    <t>1200 EUR.</t>
  </si>
  <si>
    <t>Трошкови на штанду и репрезентација</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</si>
  <si>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</si>
  <si>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</si>
  <si>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</si>
  <si>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</si>
  <si>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</si>
  <si>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</si>
  <si>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Дигитализација и архивирање штампане архивске грађе (Годишњаци, дописи и сл.)</t>
  </si>
  <si>
    <t>Рестаурација и дигитализација филмски свезака</t>
  </si>
  <si>
    <t xml:space="preserve">Трошкови организације </t>
  </si>
  <si>
    <t xml:space="preserve">ТОТАЛ </t>
  </si>
  <si>
    <t>120.000 RSD.</t>
  </si>
  <si>
    <t>Награда ”Марко Глушац”</t>
  </si>
  <si>
    <t>3.10.</t>
  </si>
  <si>
    <t>4000 EUR.</t>
  </si>
  <si>
    <t>1500 EUR.</t>
  </si>
  <si>
    <t>Тираж: 500</t>
  </si>
  <si>
    <t>Подршка  (Филмски центар Србије ко-издавач)</t>
  </si>
  <si>
    <t>ФОНД ЗА ПОМОЋ ДРУГИМ ИЗДАВАЧИМА</t>
  </si>
  <si>
    <t>3.11.</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</si>
  <si>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</si>
  <si>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</si>
  <si>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</si>
  <si>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</si>
  <si>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ПРИКАЗ ПЛАНИРАНИХ РАСХОДА ФЦС У 2023.</t>
  </si>
  <si>
    <t>Фонд за подршку</t>
  </si>
  <si>
    <t>Регионална и прекогранична сарадња са другим десковима</t>
  </si>
  <si>
    <t xml:space="preserve">Организација промотивног догађаја </t>
  </si>
  <si>
    <t>Едукативни догађаји</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</si>
  <si>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</si>
  <si>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</si>
  <si>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Промотивни материјал (торбе, свеске, оловке, цегери)</t>
  </si>
  <si>
    <t>Брошуре MEDIA деска</t>
  </si>
  <si>
    <t>Смештај за представнике ФЦС</t>
  </si>
  <si>
    <t>700 EUR</t>
  </si>
  <si>
    <t>400 EUR</t>
  </si>
  <si>
    <t>1.000 EUR.</t>
  </si>
  <si>
    <t>Producers on the Move, април-мај 2023.</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</si>
  <si>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</si>
  <si>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5.1.</t>
  </si>
  <si>
    <t>5.2.</t>
  </si>
  <si>
    <t>5.3.</t>
  </si>
  <si>
    <t>5.4.</t>
  </si>
  <si>
    <t>5.7.</t>
  </si>
  <si>
    <t>Франуско-српски сусрети на Фестивалу ауторског филма</t>
  </si>
  <si>
    <t>10.000 EUR</t>
  </si>
  <si>
    <t>Путни трошкови за 3 представника ФЦС</t>
  </si>
  <si>
    <t>40.000 RSD x 3 особе</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</si>
  <si>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</si>
  <si>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ТОТАЛ  MEDIA ДЕСК СРБИЈА</t>
  </si>
  <si>
    <t>MEDIA ДЕСК СРБИЈА</t>
  </si>
  <si>
    <t>Израда индеска</t>
  </si>
  <si>
    <t>250.000 РСД</t>
  </si>
  <si>
    <t>Хонорари за ангажоване продавце</t>
  </si>
  <si>
    <t>Тираж:  300</t>
  </si>
  <si>
    <t>Плате, додаци и накнаде запослених</t>
  </si>
  <si>
    <t>800  EUR.</t>
  </si>
  <si>
    <t>MEDIA</t>
  </si>
  <si>
    <t>Учешће у трошковима партнерства са ДокСрбија</t>
  </si>
  <si>
    <t>8.000 EUR</t>
  </si>
  <si>
    <t xml:space="preserve">5.5. </t>
  </si>
  <si>
    <t xml:space="preserve">5.6. </t>
  </si>
  <si>
    <t>5.9.</t>
  </si>
  <si>
    <t>30.000 RSD x 3 особе</t>
  </si>
  <si>
    <t>90 EUR x 3 дана x 3 особе</t>
  </si>
  <si>
    <t>Зграде и грађевински објекти</t>
  </si>
  <si>
    <t>Опрема за саобраћај</t>
  </si>
  <si>
    <t>Опрема за образовање, науку, културу и спорт</t>
  </si>
  <si>
    <t xml:space="preserve">Мрежа киноприказивача </t>
  </si>
  <si>
    <t>600 EUR.</t>
  </si>
  <si>
    <t>700 EUR.</t>
  </si>
  <si>
    <t>300 EUR.</t>
  </si>
  <si>
    <t>15 EUR x 3 дана  x 3 особe</t>
  </si>
  <si>
    <t>Авио карте (Загреб, Љубљана, Трст - 2 авио карате)</t>
  </si>
  <si>
    <t>5.8.</t>
  </si>
  <si>
    <t>ПЛАН И ПРОГРАМ ЗА 2024. ГОДИНУ</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</si>
  <si>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Locarno,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</si>
  <si>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 xml:space="preserve">Организација догађаја </t>
  </si>
  <si>
    <t xml:space="preserve">Мрежни догађаји, награде и остале услуге из области културе </t>
  </si>
  <si>
    <t>100 x 2 особе х 3 дана</t>
  </si>
  <si>
    <t>Авио превоз 2  представника ФЦС-а</t>
  </si>
  <si>
    <t>30.000 RSD x 2 члана ФЦС</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</si>
  <si>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2024. треба платити заостале обавезе, а током септембра 2024. треба платити обавезе за организациjу учешћа на Маркету 2025.</t>
  </si>
  <si>
    <t>II део трошкова за Маркет  2024, јануар 2024.</t>
  </si>
  <si>
    <t>Организација догађаја</t>
  </si>
  <si>
    <t>3.000 EUR</t>
  </si>
  <si>
    <t>I део трошкова за Маркет 2025, септембар 2024.</t>
  </si>
  <si>
    <t>Штанд и најам опреме за штанд</t>
  </si>
  <si>
    <t>70.000 RSD * 6 особа</t>
  </si>
  <si>
    <t>15 EUR * 6 особa  * 8 дана</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</si>
  <si>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2023.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</si>
  <si>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15.000 EUR</t>
  </si>
  <si>
    <t>500 EUR</t>
  </si>
  <si>
    <t>60.000 RSD</t>
  </si>
  <si>
    <t>300.000 RSD</t>
  </si>
  <si>
    <t>15 EUR х 8 дана x 8 особa</t>
  </si>
  <si>
    <t>Путни трошкови - 8 авионских карата</t>
  </si>
  <si>
    <t>80.000 RSD x 8 особа</t>
  </si>
  <si>
    <t>17.000 RSD  x 6 особа</t>
  </si>
  <si>
    <t>3000 EUR</t>
  </si>
  <si>
    <t>2.000.000 RSD</t>
  </si>
  <si>
    <t>ReActing as a Star</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</si>
  <si>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</si>
  <si>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7.000 EUR</t>
  </si>
  <si>
    <t xml:space="preserve"> У оквиру Фестивала ауторског филма, планирани су Француско-српски филмски сусрети, у организациjи Филмског центра Србиjе, Француског института, МЦФ MegaCom Филма и Удружења за промоциjу независног филма АЦИД уз подршку Министарства културе Републике Србиjе. Француско-српски филмски сусрети представљју манифестацију од значаја за унапређење међународне сарадње у области кинематографије и  повећање броја билатералних копродукција између Републике Србије и Републике Француске, као и умрежавање са домаћим ауторима. Програм сусрета jе заснован на панелима, мастеркласовима и стручним састанцима на тему филмске индустриjе. Током наредног издања велики део програма биће намењен студентима и младим филмским професионалцима у виду броjних мастеркласова о различитим филмским занимањима.</t>
  </si>
  <si>
    <t>Партнерство</t>
  </si>
  <si>
    <t>Дани српског филма у Пули, у сарадњи са Српским културним центром</t>
  </si>
  <si>
    <t>15 EUR х 4 дана х 3 особе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</si>
  <si>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спонзорише награду за најбољи пројекат на CineLinku.</t>
  </si>
  <si>
    <t>15 EUR x 4 дана x 5 особа</t>
  </si>
  <si>
    <t>1.000.000 РСД</t>
  </si>
  <si>
    <t>У оквиру ИДФА - Међународног фестивала документарног филма у Амстердаму,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</si>
  <si>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500 ЕUR x 5 особе</t>
  </si>
  <si>
    <t>Путни трошкови (2 представника ФЦС и представник документариста + 2 продуцента)</t>
  </si>
  <si>
    <t>45.000 RSD x 5 особа</t>
  </si>
  <si>
    <t>250 EUR x 5 особа x 3 ноћења</t>
  </si>
  <si>
    <t>15 EUR x 2 особе x 4 дана</t>
  </si>
  <si>
    <t>SERBIAN WORKS IN PROGRESS</t>
  </si>
  <si>
    <t>Serbian works in progress jе платформа за међународну промоциjу домаћих филмова.
Идеjа jе да се сваке године угосте у Србиjи селектори великих светских фестивала (Кан, Венециjа, Берлин, Локарно, Ротердам, Санденс, Сан Себастиjан, Карлови Вари и др.). Они би се том приликом упознали са новим српским филмовима, коjи су у завршноj фази реализациjе. Циљ ове активности jе повећање видљивости и присуства српског филма на међународним фестивалима. Броj филмова коjи би гости гледали зависио би од продукциjе те године. У зависности од броjа, и фазе у коjоj се филмови налазе, пуштали би се цели филмови или првих 20-так минута, уколико нису jош завршени али су у одмаклоj фази пост-продукциjе. Програм би укључивао и дугометражне игране и документарне филмове. Поред проjекциjа, за госте би биле организоване и друге активности коjе укључуjу интеракциjу са домаћом индустриjом (панел дискусиjе и неформална "дружења" у виду коктела / вечера) али и обилазак Београда или других знаменитости. Веома jе важно да гости боље упознаjу контекст у ком наши филмови настаjу и људе коjи их производе.</t>
  </si>
  <si>
    <t>10 гостију х 500 EUR</t>
  </si>
  <si>
    <t>Хотелски смештај</t>
  </si>
  <si>
    <t>10 гостију х 3 ноћења х 130  EUR</t>
  </si>
  <si>
    <t>Трансфери од / до аеродрома</t>
  </si>
  <si>
    <t>400  EUR</t>
  </si>
  <si>
    <t xml:space="preserve">Оброци </t>
  </si>
  <si>
    <t>10 гостију х 4 дана х 2 оброка х 30  EUR</t>
  </si>
  <si>
    <t xml:space="preserve">Коктел добродошлице </t>
  </si>
  <si>
    <t>1.000  EUR</t>
  </si>
  <si>
    <t xml:space="preserve">Координатор пројекта </t>
  </si>
  <si>
    <t>2.000  EUR</t>
  </si>
  <si>
    <t xml:space="preserve">Асистент координатора пројекта </t>
  </si>
  <si>
    <t>500  EUR</t>
  </si>
  <si>
    <t>5.000 EUR</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</si>
  <si>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је шест српских филмова добило подршку за развој.</t>
  </si>
  <si>
    <t>40.000 EUR</t>
  </si>
  <si>
    <t>40.000 RSD х 2 особе</t>
  </si>
  <si>
    <t>Авио карта за представника ФЦС</t>
  </si>
  <si>
    <t>50.000 RSD</t>
  </si>
  <si>
    <t>Смештај за представника ФЦС</t>
  </si>
  <si>
    <t>800 EUR</t>
  </si>
  <si>
    <t>125 EUR x 2 дана</t>
  </si>
  <si>
    <t>15 ЕUR x 2 дана</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</si>
  <si>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2024.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Циљеви MEDIA потпрограма су:
- Јачање европског аудиовизуелног и мултимедијалног сектора наглашавајући европски идентитет, наслеђе и културну разноликост;
- Већа присутност европских аудиовизуелних дела на међународном тржишту;
- Јачање и подстицање иновативности и конкурентности европског аудиовизуелног сектора.
Финансирање је доступно у неколико категорија које обухватају: подршку продуцентима за развој иновативних и конкурентних пројеката из области филма, ТВ програма и видео игара, подршку дистрибуцији европских аудиовизуелних дела, развој публике и професионално усавршавање и умрежавање.
У 2024. години MEDIA деск Србије планира да, поред уобичајних активности које подразумевају континуирану пружање информација о MEDIA потпрограму и конкурсима који постоје у оквиру MEDIA потпрограма и асистирања у развоју апликација, организује и инфо дане,  едукативне програме и семинаре који ће бити фокусирани на специфичне проблеме филмске индустрије и аудиовизуелног сектора у Србији и учествује на домаћим, регионалним и интернационалним филмским фестивалима.продаjе и дистрибуциjе, сценариjа, камере, звука, дизаjна сценографиjе, нових технологиjа и анимациjе. </t>
  </si>
  <si>
    <t>Хонорари</t>
  </si>
  <si>
    <t>Хонорар преводиоца сајта и материјала Медиа деска</t>
  </si>
  <si>
    <t>30.000 RSD x 2 месецa</t>
  </si>
  <si>
    <t>Дизајн визуалних материјала Медиа деска</t>
  </si>
  <si>
    <t>80.000 RSD x 1 месец</t>
  </si>
  <si>
    <t>Хонорар администратора друштвених мрежа Медиа деска</t>
  </si>
  <si>
    <t>40.000 RSD x 12 месецa</t>
  </si>
  <si>
    <t>Хонорар администратора веб сајта - секција Медиа деска</t>
  </si>
  <si>
    <t>30.000 RSD x 6 месецa</t>
  </si>
  <si>
    <t xml:space="preserve">Организација 3 догађаји у сарадњи са регионалним МЕДИА Деск-овима </t>
  </si>
  <si>
    <t xml:space="preserve">Дневнице (2 особа x 3 дана x 3 догађаја ) </t>
  </si>
  <si>
    <t>2.500 RSD х 3 дана х 2 особа х 3 путовања</t>
  </si>
  <si>
    <t>Хотелски смештај  (2 особа x 2 ноћења х 3 догађаја)</t>
  </si>
  <si>
    <t>12.000 RSD х 2 особе  х 2 ноћења x 3 путовања</t>
  </si>
  <si>
    <t>70.000 RSD x 3 промотивна догађаја</t>
  </si>
  <si>
    <t>Организација семинара и радионице о имплементацији зелене агенде у аудио визуелном сектору. Представљање примера  добре праксе у Европи и у Србији. Мастерклас  и тренинг о визуелним ефектима у индустрији видео игара у сарадњи са факултетима који у курикулуму имају смерове развоја и  дизајна видео игара</t>
  </si>
  <si>
    <t>Путни трошкови предавача и учесника програма</t>
  </si>
  <si>
    <t>2 авио карте 45.000 RSD  х превоз у земљи 2 х комбијем 10 особа</t>
  </si>
  <si>
    <t>Хотелски смештај за предаваче семинара (3 особе х 3 ноћења)</t>
  </si>
  <si>
    <t>10.000 RSD  x 3  ноћења х 3 особе</t>
  </si>
  <si>
    <t>Хонорари предавача</t>
  </si>
  <si>
    <t>80.000 RSD х 3 особе</t>
  </si>
  <si>
    <t>Пријем - мрежни догађаји Медиа деска</t>
  </si>
  <si>
    <t>120.000 RSD</t>
  </si>
  <si>
    <t xml:space="preserve">Дизајн </t>
  </si>
  <si>
    <t xml:space="preserve">Штампа </t>
  </si>
  <si>
    <t>Промоција и представљање MEDIA деска</t>
  </si>
  <si>
    <t xml:space="preserve">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t>
  </si>
  <si>
    <t>200.000 RSD</t>
  </si>
  <si>
    <t>Рекламирање у каталозима филмских фестивала, платформама</t>
  </si>
  <si>
    <t>60.000. RSD</t>
  </si>
  <si>
    <t xml:space="preserve">3 промотивна догађаја на домаћим фестивалима и састанцима тет-а-тет </t>
  </si>
  <si>
    <t>60.000 RSD x 3 промотивна догађаја</t>
  </si>
  <si>
    <t>Кампања повећања видљивости програма Креативна Европа (интервјуи, видео клип)</t>
  </si>
  <si>
    <t>40.000 RSD</t>
  </si>
  <si>
    <t>30.000 RSD</t>
  </si>
  <si>
    <t xml:space="preserve">ИЗДАВАШТВО - план и програм 2024. </t>
  </si>
  <si>
    <t>Иван Карл</t>
  </si>
  <si>
    <t>БЕОГРАДСКИ МЕЂУНАРОДНИ САЈАМ КЊИГА 2024.</t>
  </si>
  <si>
    <t>Филмски центар Србиjе  и струковно удружење документариста, ДокСрбиjа организуjу два пута годишње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</si>
  <si>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Одржавање радионица за преквалификацију и дошколовавање дефицитарних кадрова у кинематографији</t>
  </si>
  <si>
    <t xml:space="preserve">Израда плана и програма три недеље радионица за занимање по секторима и предавачи </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</si>
  <si>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2024.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</si>
  <si>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 xml:space="preserve">Филмски центар Србије има за циљ да очува и заштити неке од најпознатијих наслова домаће кинематографије и да их учини видљивијим широј публици у одговарајућем квалитету. 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 </t>
  </si>
  <si>
    <t>Дигитализација, обрада, припрема филмских плаката и постера период 1990-1999</t>
  </si>
  <si>
    <t xml:space="preserve">”Марко Глушац” наградa се додељује најперспективнијем млађем монтажеру дугих и кратких, играних и документарних форми.
То признање већ осму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</si>
  <si>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у новембру 2024. </t>
  </si>
  <si>
    <t>Подршка домаћим филмским фестивалима</t>
  </si>
  <si>
    <t xml:space="preserve">С обзиром на све већи број домаћих фестивала, а са циљем промоције домаћег филма и усавршавања филмских радника, Филмски центар Србије опредељује подршку домаћим филмским фестивалима за потребе организације, одржавање стручних радионица и предавања, доделу награда, доласка предавача и гостију фестивала.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</si>
  <si>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 xml:space="preserve">Подршка организацији </t>
  </si>
  <si>
    <t xml:space="preserve">Подршка "industry" сектору </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</si>
  <si>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Постојање квалитеног "industry" сектора,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t>
  </si>
  <si>
    <t>Сала српског филма</t>
  </si>
  <si>
    <t>Интеракција 2024</t>
  </si>
  <si>
    <t>Пројекат Интеракција подразумева одржавање студентског филмског кампа, фестивал кратког документарног филма, радионице за документарни филм и програма Meet2talk. Овај програм  је намењен студентима филмских академија и подразумева продукцију кратких документрних филмова.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</si>
  <si>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КОНКУРСИ - План и програм  2024.</t>
  </si>
  <si>
    <t xml:space="preserve">Суфинансирање производње домаћих дугометражних играних филмова </t>
  </si>
  <si>
    <t>Суфинансирање производње домаћих дугометражних дебитантских играних филмова- први и други филм редитеља</t>
  </si>
  <si>
    <t>Суфинансирање производње домаћих дугометражних играних филмова за децу и омладину</t>
  </si>
  <si>
    <t>Суфинансирање производње домаћих  документарних филмова</t>
  </si>
  <si>
    <t>Финансирање унапређења и развоја филмских сценариjа</t>
  </si>
  <si>
    <t>Суфинансирање развоја пројеката домаћих дугометражних играних и документарних филмова</t>
  </si>
  <si>
    <t>Суфинансирање развоја пројеката домаћих дугометражних анимираних филмова</t>
  </si>
  <si>
    <t>Суфинансирање производње домаћих краткометражних играних филмова</t>
  </si>
  <si>
    <t>Суфинансирање производње домаћих краткометражних анимираних филмова</t>
  </si>
  <si>
    <t>Суфинансирање производње домаћих експерименталних филмова и видео арта</t>
  </si>
  <si>
    <t>Суфинансирање производње мањинских копродукција</t>
  </si>
  <si>
    <t>Суфинансирање производње студентских завршних филмова</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</si>
  <si>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</si>
  <si>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Репрограмирање дуговања из претходних година</t>
  </si>
  <si>
    <t>ПРИКАЗ ПЛАНИРАНИХ РАСХОДА ФЦС У 2024.</t>
  </si>
  <si>
    <t>MEDIA Деск Србија</t>
  </si>
  <si>
    <t>Тираж: 300 страна</t>
  </si>
  <si>
    <t>Бранко Вучићевић: ЦЕЛОКУПНА ДЕЛА  6</t>
  </si>
  <si>
    <t>Тираж: 300</t>
  </si>
  <si>
    <t>3200 EUR.</t>
  </si>
  <si>
    <t>Синиша Драгин: ШАМАСКИ РЕЧНИК ЗА ФИЛМОФИЛЕ</t>
  </si>
  <si>
    <t>400 EUR.</t>
  </si>
  <si>
    <t>Саша Радојевић:  СРПСКИ ФИЛМ - ШЕЗДЕСЕТЕ ГОДИНЕ</t>
  </si>
  <si>
    <t>Скенирање визуелних материјала</t>
  </si>
  <si>
    <t>Слободан Шијан:  У ОГЛЕДАЛУ КРИТИКЕ (у сарадњи са САНУ)</t>
  </si>
  <si>
    <t>Скенирање материјала</t>
  </si>
  <si>
    <t>Александар С. Јанковић: МИЛУТИН ПЕТРОВИЋ</t>
  </si>
  <si>
    <t>Властимир Судар: САША ПЕТРОВИЋ - 2. ИЗДАЊЕ</t>
  </si>
  <si>
    <t xml:space="preserve">Тираж: 300 </t>
  </si>
  <si>
    <t>3300 EUR.</t>
  </si>
  <si>
    <t>1600 EUR.</t>
  </si>
  <si>
    <t>1500000  RSD</t>
  </si>
  <si>
    <t>Џозеф Мек Брајд: БИОГРАФИЈА СТИВЕНА СПИЛБЕРГА или Maria Sanchez Arce: THE CINEMA OF PEDRO ALMODOVAR</t>
  </si>
  <si>
    <t>в.д директора Филмског центра Србиjе</t>
  </si>
  <si>
    <t>Филмски центар Србије током 2024. године намерава да распише конкурсе у 22 конкурснe категоријe. Конкурси за суфинансирање производње домаћих дугометражних, домаћих документарних и производњу мањинских копродукција биће расписани два пута у току године, сви остали конкурси биће расписани само једном годишње.  Начин финансирања дугометражних играних филмова подразумева вишегодишње планирање средстава, те из тог разлога постоји посебна позиција за дуговања из које се исплаћују средства за догометражне игране филмове који улазе у продукцију у 2024. години. Укупна средства намењена за финансирање пројеката у  2024. години износе 855 милиона динара. Износ од нешто више од 181 милион динара намењен за репрограмирање дуговања из претходних година.</t>
  </si>
  <si>
    <t xml:space="preserve">Стимулација самостално снимљеног домаћег дугометражног филма </t>
  </si>
  <si>
    <t>Стимулациjе (учествовања домаћих филмова на иностраним фестивалима биоскопског приказивања домаћих филмова, гледаности домаћих филмова и дистрибуције домаћих филмова</t>
  </si>
  <si>
    <t>3.12.</t>
  </si>
  <si>
    <t>Дигитализација филмова</t>
  </si>
  <si>
    <t>Дигитализација филмова" ради дигитализације наслова на основу претходно формиране јединствене базе података домаћих филмова Филмског центра Србије.</t>
  </si>
  <si>
    <t>5.10.</t>
  </si>
  <si>
    <t>МОНОГРАФИЈА О ПУРИШИ ЂОРЂЕВИЋУ</t>
  </si>
  <si>
    <t>5.11.</t>
  </si>
  <si>
    <t>Реализација трошкова</t>
  </si>
  <si>
    <t>МОНОГРАФИЈА О ЖАРКУ ЛАУШЕВИЋУ</t>
  </si>
  <si>
    <t xml:space="preserve">Реализација трошкова </t>
  </si>
  <si>
    <t>160.000 RSD.</t>
  </si>
  <si>
    <t>Дуговања 2022</t>
  </si>
  <si>
    <t>ОСКАР - номинациjа и подршка учешћу филма кандидата из Србиjе</t>
  </si>
  <si>
    <t xml:space="preserve">Подршка филму кандидату из Србиjе за награду Оскар за наjбољи филм ван енглеског говорног подручjа. Подразумева израду пропагандног материjала, пројекције, оглашавање у медиjима, путне трошкове представника филма и ангажовање међународног публицисте односно агенциjе за логистику и промоциjу у САД. </t>
  </si>
  <si>
    <t>Tрошкови промоције номинованог филма</t>
  </si>
  <si>
    <t>У Београду, 15.10.2024.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</si>
</sst>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rgb="FF0070C0"/>
      <name val="Arial Narrow"/>
      <family val="2"/>
    </font>
    <font>
      <sz val="12"/>
      <name val="Calibri"/>
      <family val="2"/>
      <charset val="238"/>
      <scheme val="minor"/>
    </font>
    <font>
      <sz val="12"/>
      <color rgb="FF0070C0"/>
      <name val="Arial Narrow"/>
      <family val="2"/>
    </font>
    <font>
      <b/>
      <sz val="12"/>
      <name val="Calibri"/>
      <family val="2"/>
      <charset val="238"/>
      <scheme val="minor"/>
    </font>
    <font>
      <b/>
      <sz val="12"/>
      <color theme="1"/>
      <name val="Arial Narrow"/>
      <family val="2"/>
    </font>
    <font>
      <sz val="12"/>
      <color theme="9" tint="-0.249977111117893"/>
      <name val="Arial Narrow"/>
      <family val="2"/>
    </font>
    <font>
      <b/>
      <sz val="12"/>
      <color theme="9" tint="-0.249977111117893"/>
      <name val="Arial Narrow"/>
      <family val="2"/>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theme="0"/>
        <bgColor rgb="FF000000"/>
      </patternFill>
    </fill>
    <fill>
      <patternFill patternType="solid">
        <fgColor rgb="FFC0C0C0"/>
        <bgColor indexed="64"/>
      </patternFill>
    </fill>
  </fills>
  <borders count="6">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25">
    <xf numFmtId="0" fontId="0" fillId="0" borderId="0" xfId="0"/>
    <xf numFmtId="0" fontId="4"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1" fontId="4" fillId="6" borderId="1" xfId="0" applyNumberFormat="1" applyFont="1" applyFill="1" applyBorder="1" applyAlignment="1">
      <alignment vertical="center" wrapText="1"/>
    </xf>
    <xf numFmtId="0" fontId="12" fillId="0" borderId="0" xfId="0" applyFont="1"/>
    <xf numFmtId="4" fontId="4" fillId="6" borderId="1" xfId="0" applyNumberFormat="1" applyFont="1" applyFill="1" applyBorder="1" applyAlignment="1">
      <alignment vertical="center"/>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11" fillId="6" borderId="1" xfId="0" applyNumberFormat="1" applyFont="1" applyFill="1" applyBorder="1" applyAlignment="1">
      <alignment vertical="center" wrapText="1"/>
    </xf>
    <xf numFmtId="0" fontId="10" fillId="2" borderId="1" xfId="0" applyFont="1" applyFill="1" applyBorder="1" applyAlignment="1">
      <alignment horizontal="left" vertical="center" wrapText="1"/>
    </xf>
    <xf numFmtId="0" fontId="5" fillId="0" borderId="1" xfId="0" applyFont="1" applyBorder="1" applyAlignment="1">
      <alignment vertical="center"/>
    </xf>
    <xf numFmtId="0" fontId="4" fillId="0" borderId="0" xfId="0" applyFont="1" applyAlignment="1">
      <alignment vertical="center"/>
    </xf>
    <xf numFmtId="4" fontId="4" fillId="0" borderId="1" xfId="0" applyNumberFormat="1" applyFont="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0" fontId="4" fillId="7" borderId="1" xfId="0" applyFont="1" applyFill="1" applyBorder="1"/>
    <xf numFmtId="0" fontId="10" fillId="6" borderId="1" xfId="0" applyFont="1" applyFill="1" applyBorder="1"/>
    <xf numFmtId="0" fontId="4" fillId="6" borderId="2" xfId="0" applyFont="1" applyFill="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0" fontId="11" fillId="6" borderId="0" xfId="0" applyFont="1" applyFill="1"/>
    <xf numFmtId="0" fontId="10" fillId="6" borderId="0" xfId="0" applyFont="1" applyFill="1"/>
    <xf numFmtId="0" fontId="11" fillId="6" borderId="0" xfId="0" applyFont="1" applyFill="1" applyAlignment="1">
      <alignment vertical="center"/>
    </xf>
    <xf numFmtId="0" fontId="11" fillId="0" borderId="0" xfId="0" applyFont="1"/>
    <xf numFmtId="4" fontId="4" fillId="6" borderId="1" xfId="0" applyNumberFormat="1" applyFont="1" applyFill="1" applyBorder="1" applyAlignment="1">
      <alignment wrapText="1"/>
    </xf>
    <xf numFmtId="0" fontId="5" fillId="6" borderId="1" xfId="0" applyFont="1" applyFill="1" applyBorder="1" applyAlignment="1">
      <alignment horizontal="right" vertical="center"/>
    </xf>
    <xf numFmtId="0" fontId="4" fillId="2" borderId="1" xfId="0" applyFont="1" applyFill="1" applyBorder="1" applyAlignment="1">
      <alignment horizontal="left" vertical="center" wrapText="1"/>
    </xf>
    <xf numFmtId="0" fontId="4" fillId="3" borderId="1" xfId="0" applyFont="1" applyFill="1" applyBorder="1" applyAlignment="1">
      <alignment horizontal="left" vertical="center" wrapText="1"/>
    </xf>
    <xf numFmtId="0" fontId="11" fillId="0" borderId="1" xfId="0" applyFont="1" applyBorder="1"/>
    <xf numFmtId="0" fontId="10" fillId="0" borderId="1" xfId="0" applyFont="1" applyBorder="1"/>
    <xf numFmtId="4" fontId="11" fillId="0" borderId="1" xfId="0" applyNumberFormat="1" applyFont="1" applyBorder="1" applyAlignment="1">
      <alignment vertical="center"/>
    </xf>
    <xf numFmtId="0" fontId="11" fillId="0" borderId="1" xfId="0" applyFont="1" applyBorder="1" applyAlignment="1">
      <alignment vertical="center"/>
    </xf>
    <xf numFmtId="0" fontId="10" fillId="0" borderId="1" xfId="0" applyFont="1" applyBorder="1" applyAlignment="1">
      <alignment horizontal="left" vertical="center"/>
    </xf>
    <xf numFmtId="0" fontId="10" fillId="2" borderId="1" xfId="0" applyFont="1" applyFill="1" applyBorder="1" applyAlignment="1">
      <alignment horizontal="right" vertical="center" wrapText="1"/>
    </xf>
    <xf numFmtId="0" fontId="10" fillId="3" borderId="1" xfId="0" applyFont="1" applyFill="1" applyBorder="1" applyAlignment="1">
      <alignment horizontal="left" vertical="center"/>
    </xf>
    <xf numFmtId="4" fontId="11" fillId="3" borderId="1" xfId="0" applyNumberFormat="1" applyFont="1" applyFill="1" applyBorder="1" applyAlignment="1">
      <alignment vertical="center"/>
    </xf>
    <xf numFmtId="4" fontId="10" fillId="0" borderId="1" xfId="457" applyNumberFormat="1" applyFont="1" applyBorder="1" applyAlignment="1">
      <alignment vertical="center"/>
    </xf>
    <xf numFmtId="4" fontId="10" fillId="2" borderId="1" xfId="0" applyNumberFormat="1" applyFont="1" applyFill="1" applyBorder="1" applyAlignment="1">
      <alignment vertical="center" wrapText="1"/>
    </xf>
    <xf numFmtId="0" fontId="16" fillId="0" borderId="1" xfId="0" applyFont="1" applyBorder="1"/>
    <xf numFmtId="0" fontId="16" fillId="6" borderId="1" xfId="0" applyFont="1" applyFill="1" applyBorder="1"/>
    <xf numFmtId="0" fontId="5"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0" xfId="0" applyFont="1" applyAlignment="1">
      <alignment horizontal="right"/>
    </xf>
    <xf numFmtId="0" fontId="4" fillId="0" borderId="0" xfId="0" applyFont="1" applyAlignment="1">
      <alignment vertical="center" wrapText="1"/>
    </xf>
    <xf numFmtId="4" fontId="11" fillId="0" borderId="1" xfId="0" applyNumberFormat="1" applyFont="1" applyBorder="1" applyAlignment="1">
      <alignment vertical="center" wrapText="1"/>
    </xf>
    <xf numFmtId="0" fontId="11" fillId="0" borderId="1" xfId="0" applyFont="1" applyBorder="1" applyAlignment="1">
      <alignment wrapText="1"/>
    </xf>
    <xf numFmtId="0" fontId="5" fillId="0" borderId="1" xfId="0" applyFont="1" applyBorder="1" applyAlignment="1">
      <alignment horizontal="right"/>
    </xf>
    <xf numFmtId="0" fontId="5" fillId="7" borderId="1" xfId="0" applyFont="1" applyFill="1" applyBorder="1" applyAlignment="1">
      <alignment horizontal="left" vertical="center"/>
    </xf>
    <xf numFmtId="0" fontId="5" fillId="2" borderId="1" xfId="0" applyFont="1" applyFill="1" applyBorder="1" applyAlignment="1">
      <alignment horizontal="left" vertical="center" wrapText="1"/>
    </xf>
    <xf numFmtId="0" fontId="5" fillId="6" borderId="1" xfId="0" applyFont="1" applyFill="1" applyBorder="1" applyAlignment="1">
      <alignment horizontal="left" vertical="center"/>
    </xf>
    <xf numFmtId="0" fontId="4" fillId="6" borderId="1" xfId="0" applyFont="1" applyFill="1" applyBorder="1" applyAlignment="1">
      <alignment horizontal="left" vertical="center"/>
    </xf>
    <xf numFmtId="0" fontId="4" fillId="0" borderId="1" xfId="0" applyFont="1" applyBorder="1" applyAlignment="1">
      <alignment horizontal="left" vertical="center"/>
    </xf>
    <xf numFmtId="0" fontId="5" fillId="6" borderId="1" xfId="0" applyFont="1" applyFill="1" applyBorder="1" applyAlignment="1">
      <alignment horizontal="left"/>
    </xf>
    <xf numFmtId="0" fontId="5" fillId="0" borderId="2" xfId="0" applyFont="1" applyBorder="1" applyAlignment="1">
      <alignment horizontal="left" vertical="center"/>
    </xf>
    <xf numFmtId="4" fontId="4" fillId="0" borderId="0" xfId="0" applyNumberFormat="1" applyFont="1" applyAlignment="1">
      <alignment vertical="center" wrapText="1"/>
    </xf>
    <xf numFmtId="4" fontId="4" fillId="0" borderId="0" xfId="0" applyNumberFormat="1" applyFont="1" applyAlignment="1">
      <alignment horizontal="right" vertical="center" wrapText="1"/>
    </xf>
    <xf numFmtId="0" fontId="13" fillId="3" borderId="1" xfId="0" applyFont="1" applyFill="1" applyBorder="1" applyAlignment="1">
      <alignment vertical="center" wrapText="1"/>
    </xf>
    <xf numFmtId="3" fontId="4" fillId="0" borderId="1" xfId="0" applyNumberFormat="1" applyFont="1" applyBorder="1" applyAlignment="1">
      <alignment horizontal="left" wrapText="1"/>
    </xf>
    <xf numFmtId="4" fontId="5" fillId="0" borderId="1" xfId="0" applyNumberFormat="1" applyFont="1" applyBorder="1" applyAlignment="1">
      <alignment horizontal="right" vertical="top" wrapText="1"/>
    </xf>
    <xf numFmtId="0" fontId="4" fillId="0" borderId="3" xfId="0" applyFont="1" applyBorder="1"/>
    <xf numFmtId="0" fontId="5" fillId="2" borderId="3" xfId="0" applyFont="1" applyFill="1" applyBorder="1" applyAlignment="1">
      <alignment horizontal="left" vertical="center" wrapText="1"/>
    </xf>
    <xf numFmtId="0" fontId="4" fillId="6" borderId="4" xfId="0" applyFont="1" applyFill="1" applyBorder="1"/>
    <xf numFmtId="4" fontId="4" fillId="6" borderId="5" xfId="0" applyNumberFormat="1" applyFont="1" applyFill="1" applyBorder="1" applyAlignment="1">
      <alignment vertical="center"/>
    </xf>
    <xf numFmtId="4" fontId="5" fillId="6" borderId="5" xfId="0" applyNumberFormat="1" applyFont="1" applyFill="1" applyBorder="1" applyAlignment="1">
      <alignment vertical="center"/>
    </xf>
    <xf numFmtId="0" fontId="18" fillId="0" borderId="0" xfId="0" applyFont="1"/>
    <xf numFmtId="4" fontId="4" fillId="3" borderId="1" xfId="0" applyNumberFormat="1" applyFont="1" applyFill="1" applyBorder="1" applyAlignment="1">
      <alignment vertical="center" wrapText="1"/>
    </xf>
    <xf numFmtId="0" fontId="5" fillId="8" borderId="1" xfId="0" applyFont="1" applyFill="1" applyBorder="1"/>
    <xf numFmtId="0" fontId="4" fillId="6" borderId="1" xfId="0" applyFont="1" applyFill="1" applyBorder="1" applyAlignment="1">
      <alignment horizontal="left"/>
    </xf>
    <xf numFmtId="0" fontId="5" fillId="6" borderId="1" xfId="0" applyFont="1" applyFill="1" applyBorder="1"/>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4" fillId="0" borderId="1" xfId="0" applyFont="1" applyBorder="1" applyAlignment="1">
      <alignment horizontal="left" vertical="top" wrapText="1"/>
    </xf>
    <xf numFmtId="3" fontId="5" fillId="3" borderId="1" xfId="458" applyNumberFormat="1" applyFont="1" applyFill="1" applyBorder="1" applyAlignment="1">
      <alignment horizontal="left" vertical="center"/>
    </xf>
    <xf numFmtId="49" fontId="5" fillId="3" borderId="1" xfId="458" applyNumberFormat="1" applyFont="1" applyFill="1" applyBorder="1" applyAlignment="1">
      <alignment horizontal="center" vertical="center" wrapText="1"/>
    </xf>
    <xf numFmtId="0" fontId="4" fillId="3" borderId="1" xfId="0" applyFont="1" applyFill="1" applyBorder="1" applyAlignment="1">
      <alignment vertical="center"/>
    </xf>
    <xf numFmtId="3" fontId="5" fillId="0" borderId="1" xfId="458" applyNumberFormat="1" applyFont="1" applyBorder="1" applyAlignment="1">
      <alignment horizontal="center" vertical="center"/>
    </xf>
    <xf numFmtId="3" fontId="5" fillId="0" borderId="1" xfId="458" applyNumberFormat="1" applyFont="1" applyBorder="1" applyAlignment="1">
      <alignment vertical="center" wrapText="1"/>
    </xf>
    <xf numFmtId="4" fontId="5" fillId="0" borderId="1" xfId="459" applyNumberFormat="1" applyFont="1" applyBorder="1" applyAlignment="1">
      <alignment vertical="center"/>
    </xf>
    <xf numFmtId="3" fontId="5" fillId="0" borderId="1" xfId="459" applyNumberFormat="1" applyFont="1" applyBorder="1" applyAlignment="1">
      <alignment vertical="center"/>
    </xf>
    <xf numFmtId="4" fontId="5" fillId="6" borderId="1" xfId="0" applyNumberFormat="1" applyFont="1" applyFill="1" applyBorder="1" applyAlignment="1">
      <alignment vertical="center"/>
    </xf>
    <xf numFmtId="0" fontId="4" fillId="0" borderId="1" xfId="458" applyFont="1" applyBorder="1" applyAlignment="1">
      <alignment horizontal="left" vertical="center" wrapText="1"/>
    </xf>
    <xf numFmtId="4" fontId="4" fillId="0" borderId="1" xfId="459" applyNumberFormat="1" applyFont="1" applyBorder="1" applyAlignment="1" applyProtection="1">
      <alignment vertical="center"/>
      <protection locked="0"/>
    </xf>
    <xf numFmtId="0" fontId="4" fillId="0" borderId="1" xfId="458" applyFont="1" applyBorder="1" applyAlignment="1">
      <alignment vertical="center" wrapText="1"/>
    </xf>
    <xf numFmtId="0" fontId="5" fillId="0" borderId="1" xfId="458" applyFont="1" applyBorder="1" applyAlignment="1">
      <alignment vertical="center"/>
    </xf>
    <xf numFmtId="4" fontId="5" fillId="0" borderId="1" xfId="459" applyNumberFormat="1" applyFont="1" applyBorder="1" applyAlignment="1" applyProtection="1">
      <alignment vertical="center"/>
      <protection locked="0"/>
    </xf>
    <xf numFmtId="0" fontId="4" fillId="0" borderId="1" xfId="458" applyFont="1" applyBorder="1" applyAlignment="1">
      <alignment vertical="center"/>
    </xf>
    <xf numFmtId="0" fontId="5" fillId="0" borderId="1" xfId="458" applyFont="1" applyBorder="1" applyAlignment="1">
      <alignment vertical="center"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4" fontId="5" fillId="0" borderId="1" xfId="458" applyNumberFormat="1" applyFont="1" applyBorder="1" applyAlignment="1">
      <alignment vertical="center"/>
    </xf>
    <xf numFmtId="4" fontId="5" fillId="0" borderId="1" xfId="457" applyNumberFormat="1" applyFont="1" applyBorder="1" applyAlignment="1">
      <alignment vertical="center"/>
    </xf>
    <xf numFmtId="0" fontId="4" fillId="0" borderId="1" xfId="0" applyFont="1" applyBorder="1" applyAlignment="1">
      <alignment horizontal="center" wrapText="1"/>
    </xf>
    <xf numFmtId="1" fontId="16" fillId="6" borderId="1" xfId="0" applyNumberFormat="1" applyFont="1" applyFill="1" applyBorder="1" applyAlignment="1">
      <alignment vertical="center" wrapText="1"/>
    </xf>
    <xf numFmtId="4" fontId="16" fillId="6" borderId="1" xfId="0" applyNumberFormat="1" applyFont="1" applyFill="1" applyBorder="1" applyAlignment="1">
      <alignment vertical="center" wrapText="1"/>
    </xf>
    <xf numFmtId="4" fontId="16" fillId="0" borderId="1" xfId="0" applyNumberFormat="1" applyFont="1" applyBorder="1" applyAlignment="1">
      <alignment vertical="center" wrapText="1"/>
    </xf>
    <xf numFmtId="4" fontId="14" fillId="0" borderId="1" xfId="0" applyNumberFormat="1" applyFont="1" applyBorder="1" applyAlignment="1">
      <alignment horizontal="right" vertical="center" wrapText="1"/>
    </xf>
    <xf numFmtId="4" fontId="16" fillId="6" borderId="1" xfId="0" applyNumberFormat="1" applyFont="1" applyFill="1" applyBorder="1" applyAlignment="1">
      <alignment wrapText="1"/>
    </xf>
    <xf numFmtId="4" fontId="19" fillId="6" borderId="1" xfId="0" applyNumberFormat="1" applyFont="1" applyFill="1" applyBorder="1" applyAlignment="1">
      <alignment vertical="center" wrapText="1"/>
    </xf>
    <xf numFmtId="4" fontId="19" fillId="0" borderId="1" xfId="0" applyNumberFormat="1" applyFont="1" applyBorder="1" applyAlignment="1">
      <alignment vertical="center" wrapText="1"/>
    </xf>
    <xf numFmtId="4" fontId="20" fillId="0" borderId="1" xfId="0" applyNumberFormat="1" applyFont="1" applyBorder="1" applyAlignment="1">
      <alignment horizontal="right" vertical="center" wrapText="1"/>
    </xf>
    <xf numFmtId="4" fontId="19" fillId="6" borderId="1" xfId="0" applyNumberFormat="1" applyFont="1" applyFill="1" applyBorder="1" applyAlignment="1">
      <alignment wrapText="1"/>
    </xf>
    <xf numFmtId="4" fontId="19" fillId="6" borderId="1" xfId="0" applyNumberFormat="1" applyFont="1" applyFill="1" applyBorder="1"/>
    <xf numFmtId="4" fontId="4" fillId="2" borderId="2" xfId="0" applyNumberFormat="1" applyFont="1" applyFill="1" applyBorder="1" applyAlignment="1">
      <alignment vertical="center"/>
    </xf>
    <xf numFmtId="0" fontId="4" fillId="6" borderId="0" xfId="0" applyFont="1" applyFill="1" applyAlignment="1">
      <alignment vertical="center"/>
    </xf>
    <xf numFmtId="3" fontId="10" fillId="0" borderId="1" xfId="458" applyNumberFormat="1" applyFont="1" applyBorder="1" applyAlignment="1">
      <alignment horizontal="center" vertical="center"/>
    </xf>
    <xf numFmtId="3" fontId="10" fillId="0" borderId="1" xfId="458" applyNumberFormat="1" applyFont="1" applyBorder="1" applyAlignment="1">
      <alignment horizontal="center"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vertical="center" wrapText="1"/>
    </xf>
    <xf numFmtId="16" fontId="5" fillId="0" borderId="1" xfId="0" applyNumberFormat="1" applyFont="1" applyBorder="1" applyAlignment="1">
      <alignment horizontal="left" vertical="center"/>
    </xf>
    <xf numFmtId="3" fontId="5" fillId="0" borderId="1" xfId="0" applyNumberFormat="1" applyFont="1" applyBorder="1" applyAlignment="1">
      <alignment horizontal="left" vertical="center" wrapText="1"/>
    </xf>
    <xf numFmtId="3" fontId="4" fillId="0" borderId="1" xfId="0" applyNumberFormat="1" applyFont="1" applyBorder="1" applyAlignment="1">
      <alignment horizontal="left" vertical="center" wrapText="1"/>
    </xf>
    <xf numFmtId="4" fontId="4" fillId="0" borderId="1" xfId="0" applyNumberFormat="1" applyFont="1" applyBorder="1" applyAlignment="1">
      <alignment horizontal="left" wrapText="1"/>
    </xf>
    <xf numFmtId="3" fontId="12" fillId="0" borderId="0" xfId="0" applyNumberFormat="1" applyFont="1"/>
    <xf numFmtId="3" fontId="18" fillId="0" borderId="0" xfId="0" applyNumberFormat="1" applyFont="1"/>
    <xf numFmtId="4" fontId="4" fillId="6" borderId="2" xfId="0" applyNumberFormat="1" applyFont="1" applyFill="1" applyBorder="1" applyAlignment="1">
      <alignment vertical="center"/>
    </xf>
    <xf numFmtId="0" fontId="5" fillId="3" borderId="1" xfId="0" applyFont="1" applyFill="1" applyBorder="1" applyAlignment="1">
      <alignment horizontal="right" vertical="top" wrapText="1"/>
    </xf>
    <xf numFmtId="0" fontId="5" fillId="3" borderId="1" xfId="0" applyFont="1" applyFill="1" applyBorder="1" applyAlignment="1">
      <alignment horizontal="right" vertical="center" wrapText="1"/>
    </xf>
    <xf numFmtId="4" fontId="5" fillId="3" borderId="1" xfId="0" applyNumberFormat="1" applyFont="1" applyFill="1" applyBorder="1" applyAlignment="1">
      <alignment vertical="center" wrapText="1"/>
    </xf>
    <xf numFmtId="0" fontId="4" fillId="3" borderId="1" xfId="0" applyFont="1" applyFill="1" applyBorder="1" applyAlignment="1">
      <alignment horizontal="left" vertical="top" wrapText="1"/>
    </xf>
    <xf numFmtId="0" fontId="4" fillId="9" borderId="1" xfId="0" applyFont="1" applyFill="1" applyBorder="1" applyAlignment="1">
      <alignment horizontal="left" vertical="top" wrapText="1"/>
    </xf>
    <xf numFmtId="0" fontId="4" fillId="9" borderId="1" xfId="0" applyFont="1" applyFill="1" applyBorder="1" applyAlignment="1">
      <alignment horizontal="left" vertical="top"/>
    </xf>
    <xf numFmtId="0" fontId="11" fillId="3" borderId="1" xfId="0" applyFont="1" applyFill="1" applyBorder="1" applyAlignment="1">
      <alignment horizontal="center"/>
    </xf>
    <xf numFmtId="3" fontId="5" fillId="3" borderId="1" xfId="0" applyNumberFormat="1" applyFont="1" applyFill="1" applyBorder="1" applyAlignment="1">
      <alignment horizontal="center" vertical="center" wrapText="1"/>
    </xf>
    <xf numFmtId="0" fontId="4" fillId="9" borderId="1" xfId="0" applyFont="1" applyFill="1" applyBorder="1" applyAlignment="1">
      <alignment wrapText="1"/>
    </xf>
    <xf numFmtId="0" fontId="5" fillId="6" borderId="1" xfId="0" applyFont="1" applyFill="1" applyBorder="1" applyAlignment="1">
      <alignment vertical="center"/>
    </xf>
    <xf numFmtId="0" fontId="4" fillId="2" borderId="1" xfId="0" applyFont="1" applyFill="1" applyBorder="1" applyAlignment="1">
      <alignment horizontal="left" vertical="center" wrapText="1"/>
    </xf>
    <xf numFmtId="0" fontId="9" fillId="0" borderId="1" xfId="0" applyFont="1" applyBorder="1" applyAlignment="1">
      <alignment horizontal="left" vertical="center"/>
    </xf>
    <xf numFmtId="0" fontId="4" fillId="3"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2" borderId="1" xfId="0" applyFont="1" applyFill="1" applyBorder="1" applyAlignment="1">
      <alignment vertical="top" wrapText="1"/>
    </xf>
    <xf numFmtId="0" fontId="4" fillId="0" borderId="1" xfId="0" applyFont="1" applyBorder="1" applyAlignment="1">
      <alignment vertical="top"/>
    </xf>
    <xf numFmtId="0" fontId="4" fillId="0" borderId="1" xfId="0" applyFont="1" applyBorder="1"/>
    <xf numFmtId="0" fontId="15" fillId="0" borderId="1" xfId="0" applyFont="1" applyBorder="1" applyAlignment="1">
      <alignment horizontal="left" vertical="center" wrapText="1"/>
    </xf>
    <xf numFmtId="0" fontId="4" fillId="3" borderId="1" xfId="0" applyFont="1" applyFill="1" applyBorder="1" applyAlignment="1">
      <alignment vertical="top" wrapText="1"/>
    </xf>
    <xf numFmtId="0" fontId="4" fillId="3" borderId="1" xfId="0" applyFont="1" applyFill="1" applyBorder="1" applyAlignment="1">
      <alignment horizontal="left" vertical="top"/>
    </xf>
    <xf numFmtId="0" fontId="5" fillId="3" borderId="1" xfId="0" applyFont="1" applyFill="1" applyBorder="1" applyAlignment="1">
      <alignment vertical="center"/>
    </xf>
    <xf numFmtId="0" fontId="5" fillId="0" borderId="1" xfId="0" applyFont="1" applyBorder="1" applyAlignment="1">
      <alignment vertical="center"/>
    </xf>
    <xf numFmtId="0" fontId="5" fillId="3" borderId="1" xfId="0" applyFont="1" applyFill="1" applyBorder="1" applyAlignment="1">
      <alignment horizontal="center" vertical="top" wrapText="1"/>
    </xf>
    <xf numFmtId="0" fontId="4" fillId="6" borderId="1" xfId="0" applyFont="1" applyFill="1" applyBorder="1" applyAlignment="1">
      <alignment horizontal="left" vertical="top" wrapText="1"/>
    </xf>
    <xf numFmtId="0" fontId="15" fillId="6" borderId="1" xfId="0" applyFont="1" applyFill="1" applyBorder="1" applyAlignment="1">
      <alignment horizontal="left" vertical="top" wrapText="1"/>
    </xf>
    <xf numFmtId="0" fontId="4" fillId="9" borderId="1" xfId="0" applyFont="1" applyFill="1" applyBorder="1" applyAlignment="1">
      <alignment horizontal="left" vertical="center" wrapText="1"/>
    </xf>
    <xf numFmtId="0" fontId="4" fillId="2" borderId="1" xfId="0" applyFont="1" applyFill="1" applyBorder="1" applyAlignment="1">
      <alignment horizontal="left" vertical="top" wrapText="1"/>
    </xf>
    <xf numFmtId="0" fontId="4" fillId="0" borderId="1" xfId="0" applyFont="1" applyBorder="1" applyAlignment="1">
      <alignment vertical="top" wrapText="1"/>
    </xf>
    <xf numFmtId="0" fontId="5" fillId="7" borderId="1" xfId="0" applyFont="1" applyFill="1" applyBorder="1" applyAlignment="1">
      <alignment horizontal="center"/>
    </xf>
    <xf numFmtId="0" fontId="5" fillId="0" borderId="1" xfId="0" applyFont="1" applyBorder="1" applyAlignment="1">
      <alignment horizontal="center"/>
    </xf>
    <xf numFmtId="0" fontId="4" fillId="2" borderId="3" xfId="0" applyFont="1" applyFill="1" applyBorder="1" applyAlignment="1">
      <alignment horizontal="left" vertical="center" wrapText="1"/>
    </xf>
    <xf numFmtId="0" fontId="4" fillId="0" borderId="3" xfId="0" applyFont="1" applyBorder="1" applyAlignment="1">
      <alignment vertical="center"/>
    </xf>
    <xf numFmtId="0" fontId="4" fillId="3" borderId="1" xfId="0" applyFont="1" applyFill="1" applyBorder="1" applyAlignment="1" applyProtection="1">
      <alignment vertical="top" wrapText="1"/>
      <protection locked="0"/>
    </xf>
    <xf numFmtId="0" fontId="5" fillId="0" borderId="1" xfId="0" applyFont="1" applyBorder="1" applyAlignment="1">
      <alignment vertical="center" wrapText="1"/>
    </xf>
    <xf numFmtId="0" fontId="5" fillId="0" borderId="1" xfId="0" applyFont="1" applyBorder="1" applyAlignment="1">
      <alignment horizontal="right"/>
    </xf>
    <xf numFmtId="0" fontId="17" fillId="0" borderId="1" xfId="0" applyFont="1" applyBorder="1" applyAlignment="1">
      <alignment horizontal="right"/>
    </xf>
    <xf numFmtId="0" fontId="4" fillId="0" borderId="1" xfId="0" applyFont="1" applyBorder="1" applyAlignment="1">
      <alignment horizontal="left" vertical="top" wrapText="1"/>
    </xf>
    <xf numFmtId="0" fontId="4" fillId="2" borderId="0" xfId="0" applyFont="1" applyFill="1" applyAlignment="1">
      <alignment horizontal="left" vertical="top" wrapText="1"/>
    </xf>
    <xf numFmtId="0" fontId="4" fillId="0" borderId="0" xfId="0" applyFont="1" applyAlignment="1">
      <alignment horizontal="left" vertical="top"/>
    </xf>
    <xf numFmtId="0" fontId="4" fillId="0" borderId="1" xfId="0" applyFont="1" applyBorder="1" applyAlignment="1">
      <alignment horizontal="left" vertical="top"/>
    </xf>
  </cellXfs>
  <cellStyles count="954">
    <cellStyle name="Hiperveza" xfId="1" builtinId="8" hidden="1"/>
    <cellStyle name="Hiperveza" xfId="3" builtinId="8" hidden="1"/>
    <cellStyle name="Hiperveza" xfId="5" builtinId="8" hidden="1"/>
    <cellStyle name="Hiperveza" xfId="7" builtinId="8" hidden="1"/>
    <cellStyle name="Hiperveza" xfId="9" builtinId="8" hidden="1"/>
    <cellStyle name="Hiperveza" xfId="11" builtinId="8" hidden="1"/>
    <cellStyle name="Hiperveza" xfId="13" builtinId="8" hidden="1"/>
    <cellStyle name="Hiperveza" xfId="15" builtinId="8" hidden="1"/>
    <cellStyle name="Hiperveza" xfId="17" builtinId="8" hidden="1"/>
    <cellStyle name="Hiperveza" xfId="19" builtinId="8" hidden="1"/>
    <cellStyle name="Hiperveza" xfId="21" builtinId="8" hidden="1"/>
    <cellStyle name="Hiperveza" xfId="23" builtinId="8" hidden="1"/>
    <cellStyle name="Hiperveza" xfId="25" builtinId="8" hidden="1"/>
    <cellStyle name="Hiperveza" xfId="27" builtinId="8" hidden="1"/>
    <cellStyle name="Hiperveza" xfId="29" builtinId="8" hidden="1"/>
    <cellStyle name="Hiperveza" xfId="31" builtinId="8" hidden="1"/>
    <cellStyle name="Hiperveza" xfId="33" builtinId="8" hidden="1"/>
    <cellStyle name="Hiperveza" xfId="35" builtinId="8" hidden="1"/>
    <cellStyle name="Hiperveza" xfId="37" builtinId="8" hidden="1"/>
    <cellStyle name="Hiperveza" xfId="39" builtinId="8" hidden="1"/>
    <cellStyle name="Hiperveza" xfId="41" builtinId="8" hidden="1"/>
    <cellStyle name="Hiperveza" xfId="43" builtinId="8" hidden="1"/>
    <cellStyle name="Hiperveza" xfId="45" builtinId="8" hidden="1"/>
    <cellStyle name="Hiperveza" xfId="47" builtinId="8" hidden="1"/>
    <cellStyle name="Hiperveza" xfId="49" builtinId="8" hidden="1"/>
    <cellStyle name="Hiperveza" xfId="51" builtinId="8" hidden="1"/>
    <cellStyle name="Hiperveza" xfId="53" builtinId="8" hidden="1"/>
    <cellStyle name="Hiperveza" xfId="55" builtinId="8" hidden="1"/>
    <cellStyle name="Hiperveza" xfId="57" builtinId="8" hidden="1"/>
    <cellStyle name="Hiperveza" xfId="59" builtinId="8" hidden="1"/>
    <cellStyle name="Hiperveza" xfId="61" builtinId="8" hidden="1"/>
    <cellStyle name="Hiperveza" xfId="63" builtinId="8" hidden="1"/>
    <cellStyle name="Hiperveza" xfId="65" builtinId="8" hidden="1"/>
    <cellStyle name="Hiperveza" xfId="67" builtinId="8" hidden="1"/>
    <cellStyle name="Hiperveza" xfId="69" builtinId="8" hidden="1"/>
    <cellStyle name="Hiperveza" xfId="71" builtinId="8" hidden="1"/>
    <cellStyle name="Hiperveza" xfId="73" builtinId="8" hidden="1"/>
    <cellStyle name="Hiperveza" xfId="75" builtinId="8" hidden="1"/>
    <cellStyle name="Hiperveza" xfId="77" builtinId="8" hidden="1"/>
    <cellStyle name="Hiperveza" xfId="79" builtinId="8" hidden="1"/>
    <cellStyle name="Hiperveza" xfId="81" builtinId="8" hidden="1"/>
    <cellStyle name="Hiperveza" xfId="83" builtinId="8" hidden="1"/>
    <cellStyle name="Hiperveza" xfId="85" builtinId="8" hidden="1"/>
    <cellStyle name="Hiperveza" xfId="87" builtinId="8" hidden="1"/>
    <cellStyle name="Hiperveza" xfId="89" builtinId="8" hidden="1"/>
    <cellStyle name="Hiperveza" xfId="91" builtinId="8" hidden="1"/>
    <cellStyle name="Hiperveza" xfId="93" builtinId="8" hidden="1"/>
    <cellStyle name="Hiperveza" xfId="95" builtinId="8" hidden="1"/>
    <cellStyle name="Hiperveza" xfId="97" builtinId="8" hidden="1"/>
    <cellStyle name="Hiperveza" xfId="99" builtinId="8" hidden="1"/>
    <cellStyle name="Hiperveza" xfId="101" builtinId="8" hidden="1"/>
    <cellStyle name="Hiperveza" xfId="103" builtinId="8" hidden="1"/>
    <cellStyle name="Hiperveza" xfId="105" builtinId="8" hidden="1"/>
    <cellStyle name="Hiperveza" xfId="107" builtinId="8" hidden="1"/>
    <cellStyle name="Hiperveza" xfId="109" builtinId="8" hidden="1"/>
    <cellStyle name="Hiperveza" xfId="111" builtinId="8" hidden="1"/>
    <cellStyle name="Hiperveza" xfId="113" builtinId="8" hidden="1"/>
    <cellStyle name="Hiperveza" xfId="115" builtinId="8" hidden="1"/>
    <cellStyle name="Hiperveza" xfId="117" builtinId="8" hidden="1"/>
    <cellStyle name="Hiperveza" xfId="119" builtinId="8" hidden="1"/>
    <cellStyle name="Hiperveza" xfId="121" builtinId="8" hidden="1"/>
    <cellStyle name="Hiperveza" xfId="123" builtinId="8" hidden="1"/>
    <cellStyle name="Hiperveza" xfId="125" builtinId="8" hidden="1"/>
    <cellStyle name="Hiperveza" xfId="127" builtinId="8" hidden="1"/>
    <cellStyle name="Hiperveza" xfId="129" builtinId="8" hidden="1"/>
    <cellStyle name="Hiperveza" xfId="131" builtinId="8" hidden="1"/>
    <cellStyle name="Hiperveza" xfId="133" builtinId="8" hidden="1"/>
    <cellStyle name="Hiperveza" xfId="135" builtinId="8" hidden="1"/>
    <cellStyle name="Hiperveza" xfId="137" builtinId="8" hidden="1"/>
    <cellStyle name="Hiperveza" xfId="139" builtinId="8" hidden="1"/>
    <cellStyle name="Hiperveza" xfId="141" builtinId="8" hidden="1"/>
    <cellStyle name="Hiperveza" xfId="143" builtinId="8" hidden="1"/>
    <cellStyle name="Hiperveza" xfId="145" builtinId="8" hidden="1"/>
    <cellStyle name="Hiperveza" xfId="147" builtinId="8" hidden="1"/>
    <cellStyle name="Hiperveza" xfId="149" builtinId="8" hidden="1"/>
    <cellStyle name="Hiperveza" xfId="151" builtinId="8" hidden="1"/>
    <cellStyle name="Hiperveza" xfId="153" builtinId="8" hidden="1"/>
    <cellStyle name="Hiperveza" xfId="155" builtinId="8" hidden="1"/>
    <cellStyle name="Hiperveza" xfId="157" builtinId="8" hidden="1"/>
    <cellStyle name="Hiperveza" xfId="159" builtinId="8" hidden="1"/>
    <cellStyle name="Hiperveza" xfId="161" builtinId="8" hidden="1"/>
    <cellStyle name="Hiperveza" xfId="163" builtinId="8" hidden="1"/>
    <cellStyle name="Hiperveza" xfId="165" builtinId="8" hidden="1"/>
    <cellStyle name="Hiperveza" xfId="167" builtinId="8" hidden="1"/>
    <cellStyle name="Hiperveza" xfId="169" builtinId="8" hidden="1"/>
    <cellStyle name="Hiperveza" xfId="171" builtinId="8" hidden="1"/>
    <cellStyle name="Hiperveza" xfId="173" builtinId="8" hidden="1"/>
    <cellStyle name="Hiperveza" xfId="175" builtinId="8" hidden="1"/>
    <cellStyle name="Hiperveza" xfId="177" builtinId="8" hidden="1"/>
    <cellStyle name="Hiperveza" xfId="179" builtinId="8" hidden="1"/>
    <cellStyle name="Hiperveza" xfId="181" builtinId="8" hidden="1"/>
    <cellStyle name="Hiperveza" xfId="183" builtinId="8" hidden="1"/>
    <cellStyle name="Hiperveza" xfId="185" builtinId="8" hidden="1"/>
    <cellStyle name="Hiperveza" xfId="187" builtinId="8" hidden="1"/>
    <cellStyle name="Hiperveza" xfId="189" builtinId="8" hidden="1"/>
    <cellStyle name="Hiperveza" xfId="191" builtinId="8" hidden="1"/>
    <cellStyle name="Hiperveza" xfId="193" builtinId="8" hidden="1"/>
    <cellStyle name="Hiperveza" xfId="195" builtinId="8" hidden="1"/>
    <cellStyle name="Hiperveza" xfId="197" builtinId="8" hidden="1"/>
    <cellStyle name="Hiperveza" xfId="199" builtinId="8" hidden="1"/>
    <cellStyle name="Hiperveza" xfId="201" builtinId="8" hidden="1"/>
    <cellStyle name="Hiperveza" xfId="203" builtinId="8" hidden="1"/>
    <cellStyle name="Hiperveza" xfId="205" builtinId="8" hidden="1"/>
    <cellStyle name="Hiperveza" xfId="207" builtinId="8" hidden="1"/>
    <cellStyle name="Hiperveza" xfId="209" builtinId="8" hidden="1"/>
    <cellStyle name="Hiperveza" xfId="211" builtinId="8" hidden="1"/>
    <cellStyle name="Hiperveza" xfId="213" builtinId="8" hidden="1"/>
    <cellStyle name="Hiperveza" xfId="215" builtinId="8" hidden="1"/>
    <cellStyle name="Hiperveza" xfId="217" builtinId="8" hidden="1"/>
    <cellStyle name="Hiperveza" xfId="219" builtinId="8" hidden="1"/>
    <cellStyle name="Hiperveza" xfId="221" builtinId="8" hidden="1"/>
    <cellStyle name="Hiperveza" xfId="223" builtinId="8" hidden="1"/>
    <cellStyle name="Hiperveza" xfId="225" builtinId="8" hidden="1"/>
    <cellStyle name="Hiperveza" xfId="227" builtinId="8" hidden="1"/>
    <cellStyle name="Hiperveza" xfId="229" builtinId="8" hidden="1"/>
    <cellStyle name="Hiperveza" xfId="231" builtinId="8" hidden="1"/>
    <cellStyle name="Hiperveza" xfId="233" builtinId="8" hidden="1"/>
    <cellStyle name="Hiperveza" xfId="235" builtinId="8" hidden="1"/>
    <cellStyle name="Hiperveza" xfId="237" builtinId="8" hidden="1"/>
    <cellStyle name="Hiperveza" xfId="239" builtinId="8" hidden="1"/>
    <cellStyle name="Hiperveza" xfId="241" builtinId="8" hidden="1"/>
    <cellStyle name="Hiperveza" xfId="243" builtinId="8" hidden="1"/>
    <cellStyle name="Hiperveza" xfId="245" builtinId="8" hidden="1"/>
    <cellStyle name="Hiperveza" xfId="247" builtinId="8" hidden="1"/>
    <cellStyle name="Hiperveza" xfId="249" builtinId="8" hidden="1"/>
    <cellStyle name="Hiperveza" xfId="251" builtinId="8" hidden="1"/>
    <cellStyle name="Hiperveza" xfId="253" builtinId="8" hidden="1"/>
    <cellStyle name="Hiperveza" xfId="255" builtinId="8" hidden="1"/>
    <cellStyle name="Hiperveza" xfId="257" builtinId="8" hidden="1"/>
    <cellStyle name="Hiperveza" xfId="259" builtinId="8" hidden="1"/>
    <cellStyle name="Hiperveza" xfId="261" builtinId="8" hidden="1"/>
    <cellStyle name="Hiperveza" xfId="263" builtinId="8" hidden="1"/>
    <cellStyle name="Hiperveza" xfId="265" builtinId="8" hidden="1"/>
    <cellStyle name="Hiperveza" xfId="267" builtinId="8" hidden="1"/>
    <cellStyle name="Hiperveza" xfId="269" builtinId="8" hidden="1"/>
    <cellStyle name="Hiperveza" xfId="271" builtinId="8" hidden="1"/>
    <cellStyle name="Hiperveza" xfId="273" builtinId="8" hidden="1"/>
    <cellStyle name="Hiperveza" xfId="275" builtinId="8" hidden="1"/>
    <cellStyle name="Hiperveza" xfId="277" builtinId="8" hidden="1"/>
    <cellStyle name="Hiperveza" xfId="279" builtinId="8" hidden="1"/>
    <cellStyle name="Hiperveza" xfId="281" builtinId="8" hidden="1"/>
    <cellStyle name="Hiperveza" xfId="283" builtinId="8" hidden="1"/>
    <cellStyle name="Hiperveza" xfId="285" builtinId="8" hidden="1"/>
    <cellStyle name="Hiperveza" xfId="287" builtinId="8" hidden="1"/>
    <cellStyle name="Hiperveza" xfId="289" builtinId="8" hidden="1"/>
    <cellStyle name="Hiperveza" xfId="291" builtinId="8" hidden="1"/>
    <cellStyle name="Hiperveza" xfId="293" builtinId="8" hidden="1"/>
    <cellStyle name="Hiperveza" xfId="295" builtinId="8" hidden="1"/>
    <cellStyle name="Hiperveza" xfId="297" builtinId="8" hidden="1"/>
    <cellStyle name="Hiperveza" xfId="299" builtinId="8" hidden="1"/>
    <cellStyle name="Hiperveza" xfId="301" builtinId="8" hidden="1"/>
    <cellStyle name="Hiperveza" xfId="303" builtinId="8" hidden="1"/>
    <cellStyle name="Hiperveza" xfId="305" builtinId="8" hidden="1"/>
    <cellStyle name="Hiperveza" xfId="307" builtinId="8" hidden="1"/>
    <cellStyle name="Hiperveza" xfId="309" builtinId="8" hidden="1"/>
    <cellStyle name="Hiperveza" xfId="311" builtinId="8" hidden="1"/>
    <cellStyle name="Hiperveza" xfId="313" builtinId="8" hidden="1"/>
    <cellStyle name="Hiperveza" xfId="315" builtinId="8" hidden="1"/>
    <cellStyle name="Hiperveza" xfId="317" builtinId="8" hidden="1"/>
    <cellStyle name="Hiperveza" xfId="319" builtinId="8" hidden="1"/>
    <cellStyle name="Hiperveza" xfId="321" builtinId="8" hidden="1"/>
    <cellStyle name="Hiperveza" xfId="323" builtinId="8" hidden="1"/>
    <cellStyle name="Hiperveza" xfId="325" builtinId="8" hidden="1"/>
    <cellStyle name="Hiperveza" xfId="327" builtinId="8" hidden="1"/>
    <cellStyle name="Hiperveza" xfId="329" builtinId="8" hidden="1"/>
    <cellStyle name="Hiperveza" xfId="331" builtinId="8" hidden="1"/>
    <cellStyle name="Hiperveza" xfId="333" builtinId="8" hidden="1"/>
    <cellStyle name="Hiperveza" xfId="335" builtinId="8" hidden="1"/>
    <cellStyle name="Hiperveza" xfId="337" builtinId="8" hidden="1"/>
    <cellStyle name="Hiperveza" xfId="339" builtinId="8" hidden="1"/>
    <cellStyle name="Hiperveza" xfId="341" builtinId="8" hidden="1"/>
    <cellStyle name="Hiperveza" xfId="343" builtinId="8" hidden="1"/>
    <cellStyle name="Hiperveza" xfId="345" builtinId="8" hidden="1"/>
    <cellStyle name="Hiperveza" xfId="347" builtinId="8" hidden="1"/>
    <cellStyle name="Hiperveza" xfId="349" builtinId="8" hidden="1"/>
    <cellStyle name="Hiperveza" xfId="351" builtinId="8" hidden="1"/>
    <cellStyle name="Hiperveza" xfId="353" builtinId="8" hidden="1"/>
    <cellStyle name="Hiperveza" xfId="355" builtinId="8" hidden="1"/>
    <cellStyle name="Hiperveza" xfId="357" builtinId="8" hidden="1"/>
    <cellStyle name="Hiperveza" xfId="359" builtinId="8" hidden="1"/>
    <cellStyle name="Hiperveza" xfId="361" builtinId="8" hidden="1"/>
    <cellStyle name="Hiperveza" xfId="363" builtinId="8" hidden="1"/>
    <cellStyle name="Hiperveza" xfId="365" builtinId="8" hidden="1"/>
    <cellStyle name="Hiperveza" xfId="367" builtinId="8" hidden="1"/>
    <cellStyle name="Hiperveza" xfId="369" builtinId="8" hidden="1"/>
    <cellStyle name="Hiperveza" xfId="371" builtinId="8" hidden="1"/>
    <cellStyle name="Hiperveza" xfId="373" builtinId="8" hidden="1"/>
    <cellStyle name="Hiperveza" xfId="375" builtinId="8" hidden="1"/>
    <cellStyle name="Hiperveza" xfId="377" builtinId="8" hidden="1"/>
    <cellStyle name="Hiperveza" xfId="379" builtinId="8" hidden="1"/>
    <cellStyle name="Hiperveza" xfId="381" builtinId="8" hidden="1"/>
    <cellStyle name="Hiperveza" xfId="383" builtinId="8" hidden="1"/>
    <cellStyle name="Hiperveza" xfId="385" builtinId="8" hidden="1"/>
    <cellStyle name="Hiperveza" xfId="387" builtinId="8" hidden="1"/>
    <cellStyle name="Hiperveza" xfId="389" builtinId="8" hidden="1"/>
    <cellStyle name="Hiperveza" xfId="391" builtinId="8" hidden="1"/>
    <cellStyle name="Hiperveza" xfId="393" builtinId="8" hidden="1"/>
    <cellStyle name="Hiperveza" xfId="395" builtinId="8" hidden="1"/>
    <cellStyle name="Hiperveza" xfId="397" builtinId="8" hidden="1"/>
    <cellStyle name="Hiperveza" xfId="399" builtinId="8" hidden="1"/>
    <cellStyle name="Hiperveza" xfId="401" builtinId="8" hidden="1"/>
    <cellStyle name="Hiperveza" xfId="403" builtinId="8" hidden="1"/>
    <cellStyle name="Hiperveza" xfId="405" builtinId="8" hidden="1"/>
    <cellStyle name="Hiperveza" xfId="407" builtinId="8" hidden="1"/>
    <cellStyle name="Hiperveza" xfId="409" builtinId="8" hidden="1"/>
    <cellStyle name="Hiperveza" xfId="411" builtinId="8" hidden="1"/>
    <cellStyle name="Hiperveza" xfId="413" builtinId="8" hidden="1"/>
    <cellStyle name="Hiperveza" xfId="415" builtinId="8" hidden="1"/>
    <cellStyle name="Hiperveza" xfId="417" builtinId="8" hidden="1"/>
    <cellStyle name="Hiperveza" xfId="419" builtinId="8" hidden="1"/>
    <cellStyle name="Hiperveza" xfId="421" builtinId="8" hidden="1"/>
    <cellStyle name="Hiperveza" xfId="423" builtinId="8" hidden="1"/>
    <cellStyle name="Hiperveza" xfId="425" builtinId="8" hidden="1"/>
    <cellStyle name="Hiperveza" xfId="427" builtinId="8" hidden="1"/>
    <cellStyle name="Hiperveza" xfId="429" builtinId="8" hidden="1"/>
    <cellStyle name="Hiperveza" xfId="431" builtinId="8" hidden="1"/>
    <cellStyle name="Hiperveza" xfId="433" builtinId="8" hidden="1"/>
    <cellStyle name="Hiperveza" xfId="435" builtinId="8" hidden="1"/>
    <cellStyle name="Hiperveza" xfId="437" builtinId="8" hidden="1"/>
    <cellStyle name="Hiperveza" xfId="439" builtinId="8" hidden="1"/>
    <cellStyle name="Hiperveza" xfId="441" builtinId="8" hidden="1"/>
    <cellStyle name="Hiperveza" xfId="443" builtinId="8" hidden="1"/>
    <cellStyle name="Hiperveza" xfId="445" builtinId="8" hidden="1"/>
    <cellStyle name="Hiperveza" xfId="447" builtinId="8" hidden="1"/>
    <cellStyle name="Hiperveza" xfId="449" builtinId="8" hidden="1"/>
    <cellStyle name="Hiperveza" xfId="451" builtinId="8" hidden="1"/>
    <cellStyle name="Hiperveza" xfId="453" builtinId="8" hidden="1"/>
    <cellStyle name="Hiperveza" xfId="455" builtinId="8" hidden="1"/>
    <cellStyle name="Hiperveza" xfId="461" builtinId="8" hidden="1"/>
    <cellStyle name="Hiperveza" xfId="463" builtinId="8" hidden="1"/>
    <cellStyle name="Hiperveza" xfId="465" builtinId="8" hidden="1"/>
    <cellStyle name="Hiperveza" xfId="467" builtinId="8" hidden="1"/>
    <cellStyle name="Hiperveza" xfId="469" builtinId="8" hidden="1"/>
    <cellStyle name="Hiperveza" xfId="471" builtinId="8" hidden="1"/>
    <cellStyle name="Hiperveza" xfId="473" builtinId="8" hidden="1"/>
    <cellStyle name="Hiperveza" xfId="475" builtinId="8" hidden="1"/>
    <cellStyle name="Hiperveza" xfId="477" builtinId="8" hidden="1"/>
    <cellStyle name="Hiperveza" xfId="479" builtinId="8" hidden="1"/>
    <cellStyle name="Hiperveza" xfId="481" builtinId="8" hidden="1"/>
    <cellStyle name="Hiperveza" xfId="483" builtinId="8" hidden="1"/>
    <cellStyle name="Hiperveza" xfId="485" builtinId="8" hidden="1"/>
    <cellStyle name="Hiperveza" xfId="487" builtinId="8" hidden="1"/>
    <cellStyle name="Hiperveza" xfId="489" builtinId="8" hidden="1"/>
    <cellStyle name="Hiperveza" xfId="491" builtinId="8" hidden="1"/>
    <cellStyle name="Hiperveza" xfId="493" builtinId="8" hidden="1"/>
    <cellStyle name="Hiperveza" xfId="495" builtinId="8" hidden="1"/>
    <cellStyle name="Hiperveza" xfId="497" builtinId="8" hidden="1"/>
    <cellStyle name="Hiperveza" xfId="499" builtinId="8" hidden="1"/>
    <cellStyle name="Hiperveza" xfId="501" builtinId="8" hidden="1"/>
    <cellStyle name="Hiperveza" xfId="503" builtinId="8" hidden="1"/>
    <cellStyle name="Hiperveza" xfId="505" builtinId="8" hidden="1"/>
    <cellStyle name="Hiperveza" xfId="507" builtinId="8" hidden="1"/>
    <cellStyle name="Hiperveza" xfId="509" builtinId="8" hidden="1"/>
    <cellStyle name="Hiperveza" xfId="511" builtinId="8" hidden="1"/>
    <cellStyle name="Hiperveza" xfId="513" builtinId="8" hidden="1"/>
    <cellStyle name="Hiperveza" xfId="515" builtinId="8" hidden="1"/>
    <cellStyle name="Hiperveza" xfId="517" builtinId="8" hidden="1"/>
    <cellStyle name="Hiperveza" xfId="519" builtinId="8" hidden="1"/>
    <cellStyle name="Hiperveza" xfId="521" builtinId="8" hidden="1"/>
    <cellStyle name="Hiperveza" xfId="523" builtinId="8" hidden="1"/>
    <cellStyle name="Hiperveza" xfId="525" builtinId="8" hidden="1"/>
    <cellStyle name="Hiperveza" xfId="527" builtinId="8" hidden="1"/>
    <cellStyle name="Hiperveza" xfId="529" builtinId="8" hidden="1"/>
    <cellStyle name="Hiperveza" xfId="531" builtinId="8" hidden="1"/>
    <cellStyle name="Hiperveza" xfId="533" builtinId="8" hidden="1"/>
    <cellStyle name="Hiperveza" xfId="535" builtinId="8" hidden="1"/>
    <cellStyle name="Hiperveza" xfId="537" builtinId="8" hidden="1"/>
    <cellStyle name="Hiperveza" xfId="539" builtinId="8" hidden="1"/>
    <cellStyle name="Hiperveza" xfId="541" builtinId="8" hidden="1"/>
    <cellStyle name="Hiperveza" xfId="543" builtinId="8" hidden="1"/>
    <cellStyle name="Hiperveza" xfId="545" builtinId="8" hidden="1"/>
    <cellStyle name="Hiperveza" xfId="547" builtinId="8" hidden="1"/>
    <cellStyle name="Hiperveza" xfId="549" builtinId="8" hidden="1"/>
    <cellStyle name="Hiperveza" xfId="551" builtinId="8" hidden="1"/>
    <cellStyle name="Hiperveza" xfId="553" builtinId="8" hidden="1"/>
    <cellStyle name="Hiperveza" xfId="555" builtinId="8" hidden="1"/>
    <cellStyle name="Hiperveza" xfId="557" builtinId="8" hidden="1"/>
    <cellStyle name="Hiperveza" xfId="559" builtinId="8" hidden="1"/>
    <cellStyle name="Hiperveza" xfId="561" builtinId="8" hidden="1"/>
    <cellStyle name="Hiperveza" xfId="563" builtinId="8" hidden="1"/>
    <cellStyle name="Hiperveza" xfId="565" builtinId="8" hidden="1"/>
    <cellStyle name="Hiperveza" xfId="567" builtinId="8" hidden="1"/>
    <cellStyle name="Hiperveza" xfId="569" builtinId="8" hidden="1"/>
    <cellStyle name="Hiperveza" xfId="571" builtinId="8" hidden="1"/>
    <cellStyle name="Hiperveza" xfId="573" builtinId="8" hidden="1"/>
    <cellStyle name="Hiperveza" xfId="575" builtinId="8" hidden="1"/>
    <cellStyle name="Hiperveza" xfId="577" builtinId="8" hidden="1"/>
    <cellStyle name="Hiperveza" xfId="579" builtinId="8" hidden="1"/>
    <cellStyle name="Hiperveza" xfId="581" builtinId="8" hidden="1"/>
    <cellStyle name="Hiperveza" xfId="583" builtinId="8" hidden="1"/>
    <cellStyle name="Hiperveza" xfId="585" builtinId="8" hidden="1"/>
    <cellStyle name="Hiperveza" xfId="587" builtinId="8" hidden="1"/>
    <cellStyle name="Hiperveza" xfId="589" builtinId="8" hidden="1"/>
    <cellStyle name="Hiperveza" xfId="591" builtinId="8" hidden="1"/>
    <cellStyle name="Hiperveza" xfId="593" builtinId="8" hidden="1"/>
    <cellStyle name="Hiperveza" xfId="595" builtinId="8" hidden="1"/>
    <cellStyle name="Hiperveza" xfId="597" builtinId="8" hidden="1"/>
    <cellStyle name="Hiperveza" xfId="599" builtinId="8" hidden="1"/>
    <cellStyle name="Hiperveza" xfId="601" builtinId="8" hidden="1"/>
    <cellStyle name="Hiperveza" xfId="603" builtinId="8" hidden="1"/>
    <cellStyle name="Hiperveza" xfId="605" builtinId="8" hidden="1"/>
    <cellStyle name="Hiperveza" xfId="607" builtinId="8" hidden="1"/>
    <cellStyle name="Hiperveza" xfId="609" builtinId="8" hidden="1"/>
    <cellStyle name="Hiperveza" xfId="611" builtinId="8" hidden="1"/>
    <cellStyle name="Hiperveza" xfId="613" builtinId="8" hidden="1"/>
    <cellStyle name="Hiperveza" xfId="615" builtinId="8" hidden="1"/>
    <cellStyle name="Hiperveza" xfId="617" builtinId="8" hidden="1"/>
    <cellStyle name="Hiperveza" xfId="619" builtinId="8" hidden="1"/>
    <cellStyle name="Hiperveza" xfId="621" builtinId="8" hidden="1"/>
    <cellStyle name="Hiperveza" xfId="623" builtinId="8" hidden="1"/>
    <cellStyle name="Hiperveza" xfId="625" builtinId="8" hidden="1"/>
    <cellStyle name="Hiperveza" xfId="627" builtinId="8" hidden="1"/>
    <cellStyle name="Hiperveza" xfId="629" builtinId="8" hidden="1"/>
    <cellStyle name="Hiperveza" xfId="631" builtinId="8" hidden="1"/>
    <cellStyle name="Hiperveza" xfId="633" builtinId="8" hidden="1"/>
    <cellStyle name="Hiperveza" xfId="635" builtinId="8" hidden="1"/>
    <cellStyle name="Hiperveza" xfId="637" builtinId="8" hidden="1"/>
    <cellStyle name="Hiperveza" xfId="639" builtinId="8" hidden="1"/>
    <cellStyle name="Hiperveza" xfId="641" builtinId="8" hidden="1"/>
    <cellStyle name="Hiperveza" xfId="643" builtinId="8" hidden="1"/>
    <cellStyle name="Hiperveza" xfId="645" builtinId="8" hidden="1"/>
    <cellStyle name="Hiperveza" xfId="647" builtinId="8" hidden="1"/>
    <cellStyle name="Hiperveza" xfId="649" builtinId="8" hidden="1"/>
    <cellStyle name="Hiperveza" xfId="651" builtinId="8" hidden="1"/>
    <cellStyle name="Hiperveza" xfId="653" builtinId="8" hidden="1"/>
    <cellStyle name="Hiperveza" xfId="655" builtinId="8" hidden="1"/>
    <cellStyle name="Hiperveza" xfId="657" builtinId="8" hidden="1"/>
    <cellStyle name="Hiperveza" xfId="659" builtinId="8" hidden="1"/>
    <cellStyle name="Hiperveza" xfId="661" builtinId="8" hidden="1"/>
    <cellStyle name="Hiperveza" xfId="663" builtinId="8" hidden="1"/>
    <cellStyle name="Hiperveza" xfId="665" builtinId="8" hidden="1"/>
    <cellStyle name="Hiperveza" xfId="667" builtinId="8" hidden="1"/>
    <cellStyle name="Hiperveza" xfId="669" builtinId="8" hidden="1"/>
    <cellStyle name="Hiperveza" xfId="671" builtinId="8" hidden="1"/>
    <cellStyle name="Hiperveza" xfId="673" builtinId="8" hidden="1"/>
    <cellStyle name="Hiperveza" xfId="675" builtinId="8" hidden="1"/>
    <cellStyle name="Hiperveza" xfId="680" builtinId="8" hidden="1"/>
    <cellStyle name="Hiperveza" xfId="682" builtinId="8" hidden="1"/>
    <cellStyle name="Hiperveza" xfId="684" builtinId="8" hidden="1"/>
    <cellStyle name="Hiperveza" xfId="686" builtinId="8" hidden="1"/>
    <cellStyle name="Hiperveza" xfId="688" builtinId="8" hidden="1"/>
    <cellStyle name="Hiperveza" xfId="690" builtinId="8" hidden="1"/>
    <cellStyle name="Hiperveza" xfId="692" builtinId="8" hidden="1"/>
    <cellStyle name="Hiperveza" xfId="694" builtinId="8" hidden="1"/>
    <cellStyle name="Hiperveza" xfId="696" builtinId="8" hidden="1"/>
    <cellStyle name="Hiperveza" xfId="698" builtinId="8" hidden="1"/>
    <cellStyle name="Hiperveza" xfId="700" builtinId="8" hidden="1"/>
    <cellStyle name="Hiperveza" xfId="702" builtinId="8" hidden="1"/>
    <cellStyle name="Hiperveza" xfId="704" builtinId="8" hidden="1"/>
    <cellStyle name="Hiperveza" xfId="706" builtinId="8" hidden="1"/>
    <cellStyle name="Hiperveza" xfId="708" builtinId="8" hidden="1"/>
    <cellStyle name="Hiperveza" xfId="710" builtinId="8" hidden="1"/>
    <cellStyle name="Hiperveza" xfId="712" builtinId="8" hidden="1"/>
    <cellStyle name="Hiperveza" xfId="714" builtinId="8" hidden="1"/>
    <cellStyle name="Hiperveza" xfId="716" builtinId="8" hidden="1"/>
    <cellStyle name="Hiperveza" xfId="718" builtinId="8" hidden="1"/>
    <cellStyle name="Hiperveza" xfId="720" builtinId="8" hidden="1"/>
    <cellStyle name="Hiperveza" xfId="722" builtinId="8" hidden="1"/>
    <cellStyle name="Hiperveza" xfId="724" builtinId="8" hidden="1"/>
    <cellStyle name="Hiperveza" xfId="726" builtinId="8" hidden="1"/>
    <cellStyle name="Hiperveza" xfId="728" builtinId="8" hidden="1"/>
    <cellStyle name="Hiperveza" xfId="730" builtinId="8" hidden="1"/>
    <cellStyle name="Hiperveza" xfId="732" builtinId="8" hidden="1"/>
    <cellStyle name="Hiperveza" xfId="734" builtinId="8" hidden="1"/>
    <cellStyle name="Hiperveza" xfId="736" builtinId="8" hidden="1"/>
    <cellStyle name="Hiperveza" xfId="738" builtinId="8" hidden="1"/>
    <cellStyle name="Hiperveza" xfId="740" builtinId="8" hidden="1"/>
    <cellStyle name="Hiperveza" xfId="742" builtinId="8" hidden="1"/>
    <cellStyle name="Hiperveza" xfId="744" builtinId="8" hidden="1"/>
    <cellStyle name="Hiperveza" xfId="746" builtinId="8" hidden="1"/>
    <cellStyle name="Hiperveza" xfId="748" builtinId="8" hidden="1"/>
    <cellStyle name="Hiperveza" xfId="750" builtinId="8" hidden="1"/>
    <cellStyle name="Hiperveza" xfId="752" builtinId="8" hidden="1"/>
    <cellStyle name="Hiperveza" xfId="754" builtinId="8" hidden="1"/>
    <cellStyle name="Hiperveza" xfId="756" builtinId="8" hidden="1"/>
    <cellStyle name="Hiperveza" xfId="758" builtinId="8" hidden="1"/>
    <cellStyle name="Hiperveza" xfId="760" builtinId="8" hidden="1"/>
    <cellStyle name="Hiperveza" xfId="762" builtinId="8" hidden="1"/>
    <cellStyle name="Hiperveza" xfId="764" builtinId="8" hidden="1"/>
    <cellStyle name="Hiperveza" xfId="766" builtinId="8" hidden="1"/>
    <cellStyle name="Hiperveza" xfId="768" builtinId="8" hidden="1"/>
    <cellStyle name="Hiperveza" xfId="770" builtinId="8" hidden="1"/>
    <cellStyle name="Hiperveza" xfId="772" builtinId="8" hidden="1"/>
    <cellStyle name="Hiperveza" xfId="774" builtinId="8" hidden="1"/>
    <cellStyle name="Hiperveza" xfId="776" builtinId="8" hidden="1"/>
    <cellStyle name="Hiperveza" xfId="778" builtinId="8" hidden="1"/>
    <cellStyle name="Hiperveza" xfId="780" builtinId="8" hidden="1"/>
    <cellStyle name="Hiperveza" xfId="782" builtinId="8" hidden="1"/>
    <cellStyle name="Hiperveza" xfId="784" builtinId="8" hidden="1"/>
    <cellStyle name="Hiperveza" xfId="786" builtinId="8" hidden="1"/>
    <cellStyle name="Hiperveza" xfId="788" builtinId="8" hidden="1"/>
    <cellStyle name="Hiperveza" xfId="790" builtinId="8" hidden="1"/>
    <cellStyle name="Hiperveza" xfId="792" builtinId="8" hidden="1"/>
    <cellStyle name="Hiperveza" xfId="794" builtinId="8" hidden="1"/>
    <cellStyle name="Hiperveza" xfId="796" builtinId="8" hidden="1"/>
    <cellStyle name="Hiperveza" xfId="798" builtinId="8" hidden="1"/>
    <cellStyle name="Hiperveza" xfId="800" builtinId="8" hidden="1"/>
    <cellStyle name="Hiperveza" xfId="802" builtinId="8" hidden="1"/>
    <cellStyle name="Hiperveza" xfId="804" builtinId="8" hidden="1"/>
    <cellStyle name="Hiperveza" xfId="806" builtinId="8" hidden="1"/>
    <cellStyle name="Hiperveza" xfId="808" builtinId="8" hidden="1"/>
    <cellStyle name="Hiperveza" xfId="810" builtinId="8" hidden="1"/>
    <cellStyle name="Hiperveza" xfId="812" builtinId="8" hidden="1"/>
    <cellStyle name="Hiperveza" xfId="814" builtinId="8" hidden="1"/>
    <cellStyle name="Hiperveza" xfId="816" builtinId="8" hidden="1"/>
    <cellStyle name="Hiperveza" xfId="818" builtinId="8" hidden="1"/>
    <cellStyle name="Hiperveza" xfId="820" builtinId="8" hidden="1"/>
    <cellStyle name="Hiperveza" xfId="822" builtinId="8" hidden="1"/>
    <cellStyle name="Hiperveza" xfId="824" builtinId="8" hidden="1"/>
    <cellStyle name="Hiperveza" xfId="826" builtinId="8" hidden="1"/>
    <cellStyle name="Hiperveza" xfId="828" builtinId="8" hidden="1"/>
    <cellStyle name="Hiperveza" xfId="830" builtinId="8" hidden="1"/>
    <cellStyle name="Hiperveza" xfId="832" builtinId="8" hidden="1"/>
    <cellStyle name="Hiperveza" xfId="834" builtinId="8" hidden="1"/>
    <cellStyle name="Hiperveza" xfId="836" builtinId="8" hidden="1"/>
    <cellStyle name="Hiperveza" xfId="838" builtinId="8" hidden="1"/>
    <cellStyle name="Hiperveza" xfId="840" builtinId="8" hidden="1"/>
    <cellStyle name="Hiperveza" xfId="842" builtinId="8" hidden="1"/>
    <cellStyle name="Hiperveza" xfId="844" builtinId="8" hidden="1"/>
    <cellStyle name="Hiperveza" xfId="846" builtinId="8" hidden="1"/>
    <cellStyle name="Hiperveza" xfId="848" builtinId="8" hidden="1"/>
    <cellStyle name="Hiperveza" xfId="850" builtinId="8" hidden="1"/>
    <cellStyle name="Hiperveza" xfId="852" builtinId="8" hidden="1"/>
    <cellStyle name="Hiperveza" xfId="854" builtinId="8" hidden="1"/>
    <cellStyle name="Hiperveza" xfId="856" builtinId="8" hidden="1"/>
    <cellStyle name="Hiperveza" xfId="858" builtinId="8" hidden="1"/>
    <cellStyle name="Hiperveza" xfId="860" builtinId="8" hidden="1"/>
    <cellStyle name="Hiperveza" xfId="862" builtinId="8" hidden="1"/>
    <cellStyle name="Hiperveza" xfId="864" builtinId="8" hidden="1"/>
    <cellStyle name="Hiperveza" xfId="866" builtinId="8" hidden="1"/>
    <cellStyle name="Hiperveza" xfId="868" builtinId="8" hidden="1"/>
    <cellStyle name="Hiperveza" xfId="870" builtinId="8" hidden="1"/>
    <cellStyle name="Hiperveza" xfId="872" builtinId="8" hidden="1"/>
    <cellStyle name="Hiperveza" xfId="874" builtinId="8" hidden="1"/>
    <cellStyle name="Hiperveza" xfId="876" builtinId="8" hidden="1"/>
    <cellStyle name="Hiperveza" xfId="878" builtinId="8" hidden="1"/>
    <cellStyle name="Hiperveza" xfId="880" builtinId="8" hidden="1"/>
    <cellStyle name="Hiperveza" xfId="882" builtinId="8" hidden="1"/>
    <cellStyle name="Hiperveza" xfId="884" builtinId="8" hidden="1"/>
    <cellStyle name="Hiperveza" xfId="886" builtinId="8" hidden="1"/>
    <cellStyle name="Hiperveza" xfId="888" builtinId="8" hidden="1"/>
    <cellStyle name="Hiperveza" xfId="890" builtinId="8" hidden="1"/>
    <cellStyle name="Hiperveza" xfId="892" builtinId="8" hidden="1"/>
    <cellStyle name="Hiperveza" xfId="894" builtinId="8" hidden="1"/>
    <cellStyle name="Hiperveza" xfId="896" builtinId="8" hidden="1"/>
    <cellStyle name="Hiperveza" xfId="898" builtinId="8" hidden="1"/>
    <cellStyle name="Hiperveza" xfId="900" builtinId="8" hidden="1"/>
    <cellStyle name="Hiperveza" xfId="902" builtinId="8" hidden="1"/>
    <cellStyle name="Hiperveza" xfId="904" builtinId="8" hidden="1"/>
    <cellStyle name="Hiperveza" xfId="906" builtinId="8" hidden="1"/>
    <cellStyle name="Hiperveza" xfId="908" builtinId="8" hidden="1"/>
    <cellStyle name="Hiperveza" xfId="910" builtinId="8" hidden="1"/>
    <cellStyle name="Hiperveza" xfId="912" builtinId="8" hidden="1"/>
    <cellStyle name="Hiperveza" xfId="914" builtinId="8" hidden="1"/>
    <cellStyle name="Hiperveza" xfId="916" builtinId="8" hidden="1"/>
    <cellStyle name="Hiperveza" xfId="918" builtinId="8" hidden="1"/>
    <cellStyle name="Hiperveza" xfId="920" builtinId="8" hidden="1"/>
    <cellStyle name="Hiperveza" xfId="922" builtinId="8" hidden="1"/>
    <cellStyle name="Hiperveza" xfId="924" builtinId="8" hidden="1"/>
    <cellStyle name="Hiperveza" xfId="926" builtinId="8" hidden="1"/>
    <cellStyle name="Hiperveza" xfId="928" builtinId="8" hidden="1"/>
    <cellStyle name="Hiperveza" xfId="930" builtinId="8" hidden="1"/>
    <cellStyle name="Hiperveza" xfId="932" builtinId="8" hidden="1"/>
    <cellStyle name="Hiperveza" xfId="934" builtinId="8" hidden="1"/>
    <cellStyle name="Hiperveza" xfId="936" builtinId="8" hidden="1"/>
    <cellStyle name="Hiperveza" xfId="938" builtinId="8" hidden="1"/>
    <cellStyle name="Hiperveza" xfId="940" builtinId="8" hidden="1"/>
    <cellStyle name="Hiperveza" xfId="942" builtinId="8" hidden="1"/>
    <cellStyle name="Hiperveza" xfId="944" builtinId="8" hidden="1"/>
    <cellStyle name="Hiperveza" xfId="946" builtinId="8" hidden="1"/>
    <cellStyle name="Hiperveza" xfId="948" builtinId="8" hidden="1"/>
    <cellStyle name="Hiperveza" xfId="950" builtinId="8" hidden="1"/>
    <cellStyle name="Hiperveza" xfId="952" builtinId="8" hidden="1"/>
    <cellStyle name="Ispraćena hiperveza" xfId="2" builtinId="9" hidden="1"/>
    <cellStyle name="Ispraćena hiperveza" xfId="4" builtinId="9" hidden="1"/>
    <cellStyle name="Ispraćena hiperveza" xfId="6" builtinId="9" hidden="1"/>
    <cellStyle name="Ispraćena hiperveza" xfId="8" builtinId="9" hidden="1"/>
    <cellStyle name="Ispraćena hiperveza" xfId="10" builtinId="9" hidden="1"/>
    <cellStyle name="Ispraćena hiperveza" xfId="12" builtinId="9" hidden="1"/>
    <cellStyle name="Ispraćena hiperveza" xfId="14" builtinId="9" hidden="1"/>
    <cellStyle name="Ispraćena hiperveza" xfId="16" builtinId="9" hidden="1"/>
    <cellStyle name="Ispraćena hiperveza" xfId="18" builtinId="9" hidden="1"/>
    <cellStyle name="Ispraćena hiperveza" xfId="20" builtinId="9" hidden="1"/>
    <cellStyle name="Ispraćena hiperveza" xfId="22" builtinId="9" hidden="1"/>
    <cellStyle name="Ispraćena hiperveza" xfId="24" builtinId="9" hidden="1"/>
    <cellStyle name="Ispraćena hiperveza" xfId="26" builtinId="9" hidden="1"/>
    <cellStyle name="Ispraćena hiperveza" xfId="28" builtinId="9" hidden="1"/>
    <cellStyle name="Ispraćena hiperveza" xfId="30" builtinId="9" hidden="1"/>
    <cellStyle name="Ispraćena hiperveza" xfId="32" builtinId="9" hidden="1"/>
    <cellStyle name="Ispraćena hiperveza" xfId="34" builtinId="9" hidden="1"/>
    <cellStyle name="Ispraćena hiperveza" xfId="36" builtinId="9" hidden="1"/>
    <cellStyle name="Ispraćena hiperveza" xfId="38" builtinId="9" hidden="1"/>
    <cellStyle name="Ispraćena hiperveza" xfId="40" builtinId="9" hidden="1"/>
    <cellStyle name="Ispraćena hiperveza" xfId="42" builtinId="9" hidden="1"/>
    <cellStyle name="Ispraćena hiperveza" xfId="44" builtinId="9" hidden="1"/>
    <cellStyle name="Ispraćena hiperveza" xfId="46" builtinId="9" hidden="1"/>
    <cellStyle name="Ispraćena hiperveza" xfId="48" builtinId="9" hidden="1"/>
    <cellStyle name="Ispraćena hiperveza" xfId="50" builtinId="9" hidden="1"/>
    <cellStyle name="Ispraćena hiperveza" xfId="52" builtinId="9" hidden="1"/>
    <cellStyle name="Ispraćena hiperveza" xfId="54" builtinId="9" hidden="1"/>
    <cellStyle name="Ispraćena hiperveza" xfId="56" builtinId="9" hidden="1"/>
    <cellStyle name="Ispraćena hiperveza" xfId="58" builtinId="9" hidden="1"/>
    <cellStyle name="Ispraćena hiperveza" xfId="60" builtinId="9" hidden="1"/>
    <cellStyle name="Ispraćena hiperveza" xfId="62" builtinId="9" hidden="1"/>
    <cellStyle name="Ispraćena hiperveza" xfId="64" builtinId="9" hidden="1"/>
    <cellStyle name="Ispraćena hiperveza" xfId="66" builtinId="9" hidden="1"/>
    <cellStyle name="Ispraćena hiperveza" xfId="68" builtinId="9" hidden="1"/>
    <cellStyle name="Ispraćena hiperveza" xfId="70" builtinId="9" hidden="1"/>
    <cellStyle name="Ispraćena hiperveza" xfId="72" builtinId="9" hidden="1"/>
    <cellStyle name="Ispraćena hiperveza" xfId="74" builtinId="9" hidden="1"/>
    <cellStyle name="Ispraćena hiperveza" xfId="76" builtinId="9" hidden="1"/>
    <cellStyle name="Ispraćena hiperveza" xfId="78" builtinId="9" hidden="1"/>
    <cellStyle name="Ispraćena hiperveza" xfId="80" builtinId="9" hidden="1"/>
    <cellStyle name="Ispraćena hiperveza" xfId="82" builtinId="9" hidden="1"/>
    <cellStyle name="Ispraćena hiperveza" xfId="84" builtinId="9" hidden="1"/>
    <cellStyle name="Ispraćena hiperveza" xfId="86" builtinId="9" hidden="1"/>
    <cellStyle name="Ispraćena hiperveza" xfId="88" builtinId="9" hidden="1"/>
    <cellStyle name="Ispraćena hiperveza" xfId="90" builtinId="9" hidden="1"/>
    <cellStyle name="Ispraćena hiperveza" xfId="92" builtinId="9" hidden="1"/>
    <cellStyle name="Ispraćena hiperveza" xfId="94" builtinId="9" hidden="1"/>
    <cellStyle name="Ispraćena hiperveza" xfId="96" builtinId="9" hidden="1"/>
    <cellStyle name="Ispraćena hiperveza" xfId="98" builtinId="9" hidden="1"/>
    <cellStyle name="Ispraćena hiperveza" xfId="100" builtinId="9" hidden="1"/>
    <cellStyle name="Ispraćena hiperveza" xfId="102" builtinId="9" hidden="1"/>
    <cellStyle name="Ispraćena hiperveza" xfId="104" builtinId="9" hidden="1"/>
    <cellStyle name="Ispraćena hiperveza" xfId="106" builtinId="9" hidden="1"/>
    <cellStyle name="Ispraćena hiperveza" xfId="108" builtinId="9" hidden="1"/>
    <cellStyle name="Ispraćena hiperveza" xfId="110" builtinId="9" hidden="1"/>
    <cellStyle name="Ispraćena hiperveza" xfId="112" builtinId="9" hidden="1"/>
    <cellStyle name="Ispraćena hiperveza" xfId="114" builtinId="9" hidden="1"/>
    <cellStyle name="Ispraćena hiperveza" xfId="116" builtinId="9" hidden="1"/>
    <cellStyle name="Ispraćena hiperveza" xfId="118" builtinId="9" hidden="1"/>
    <cellStyle name="Ispraćena hiperveza" xfId="120" builtinId="9" hidden="1"/>
    <cellStyle name="Ispraćena hiperveza" xfId="122" builtinId="9" hidden="1"/>
    <cellStyle name="Ispraćena hiperveza" xfId="124" builtinId="9" hidden="1"/>
    <cellStyle name="Ispraćena hiperveza" xfId="126" builtinId="9" hidden="1"/>
    <cellStyle name="Ispraćena hiperveza" xfId="128" builtinId="9" hidden="1"/>
    <cellStyle name="Ispraćena hiperveza" xfId="130" builtinId="9" hidden="1"/>
    <cellStyle name="Ispraćena hiperveza" xfId="132" builtinId="9" hidden="1"/>
    <cellStyle name="Ispraćena hiperveza" xfId="134" builtinId="9" hidden="1"/>
    <cellStyle name="Ispraćena hiperveza" xfId="136" builtinId="9" hidden="1"/>
    <cellStyle name="Ispraćena hiperveza" xfId="138" builtinId="9" hidden="1"/>
    <cellStyle name="Ispraćena hiperveza" xfId="140" builtinId="9" hidden="1"/>
    <cellStyle name="Ispraćena hiperveza" xfId="142" builtinId="9" hidden="1"/>
    <cellStyle name="Ispraćena hiperveza" xfId="144" builtinId="9" hidden="1"/>
    <cellStyle name="Ispraćena hiperveza" xfId="146" builtinId="9" hidden="1"/>
    <cellStyle name="Ispraćena hiperveza" xfId="148" builtinId="9" hidden="1"/>
    <cellStyle name="Ispraćena hiperveza" xfId="150" builtinId="9" hidden="1"/>
    <cellStyle name="Ispraćena hiperveza" xfId="152" builtinId="9" hidden="1"/>
    <cellStyle name="Ispraćena hiperveza" xfId="154" builtinId="9" hidden="1"/>
    <cellStyle name="Ispraćena hiperveza" xfId="156" builtinId="9" hidden="1"/>
    <cellStyle name="Ispraćena hiperveza" xfId="158" builtinId="9" hidden="1"/>
    <cellStyle name="Ispraćena hiperveza" xfId="160" builtinId="9" hidden="1"/>
    <cellStyle name="Ispraćena hiperveza" xfId="162" builtinId="9" hidden="1"/>
    <cellStyle name="Ispraćena hiperveza" xfId="164" builtinId="9" hidden="1"/>
    <cellStyle name="Ispraćena hiperveza" xfId="166" builtinId="9" hidden="1"/>
    <cellStyle name="Ispraćena hiperveza" xfId="168" builtinId="9" hidden="1"/>
    <cellStyle name="Ispraćena hiperveza" xfId="170" builtinId="9" hidden="1"/>
    <cellStyle name="Ispraćena hiperveza" xfId="172" builtinId="9" hidden="1"/>
    <cellStyle name="Ispraćena hiperveza" xfId="174" builtinId="9" hidden="1"/>
    <cellStyle name="Ispraćena hiperveza" xfId="176" builtinId="9" hidden="1"/>
    <cellStyle name="Ispraćena hiperveza" xfId="178" builtinId="9" hidden="1"/>
    <cellStyle name="Ispraćena hiperveza" xfId="180" builtinId="9" hidden="1"/>
    <cellStyle name="Ispraćena hiperveza" xfId="182" builtinId="9" hidden="1"/>
    <cellStyle name="Ispraćena hiperveza" xfId="184" builtinId="9" hidden="1"/>
    <cellStyle name="Ispraćena hiperveza" xfId="186" builtinId="9" hidden="1"/>
    <cellStyle name="Ispraćena hiperveza" xfId="188" builtinId="9" hidden="1"/>
    <cellStyle name="Ispraćena hiperveza" xfId="190" builtinId="9" hidden="1"/>
    <cellStyle name="Ispraćena hiperveza" xfId="192" builtinId="9" hidden="1"/>
    <cellStyle name="Ispraćena hiperveza" xfId="194" builtinId="9" hidden="1"/>
    <cellStyle name="Ispraćena hiperveza" xfId="196" builtinId="9" hidden="1"/>
    <cellStyle name="Ispraćena hiperveza" xfId="198" builtinId="9" hidden="1"/>
    <cellStyle name="Ispraćena hiperveza" xfId="200" builtinId="9" hidden="1"/>
    <cellStyle name="Ispraćena hiperveza" xfId="202" builtinId="9" hidden="1"/>
    <cellStyle name="Ispraćena hiperveza" xfId="204" builtinId="9" hidden="1"/>
    <cellStyle name="Ispraćena hiperveza" xfId="206" builtinId="9" hidden="1"/>
    <cellStyle name="Ispraćena hiperveza" xfId="208" builtinId="9" hidden="1"/>
    <cellStyle name="Ispraćena hiperveza" xfId="210" builtinId="9" hidden="1"/>
    <cellStyle name="Ispraćena hiperveza" xfId="212" builtinId="9" hidden="1"/>
    <cellStyle name="Ispraćena hiperveza" xfId="214" builtinId="9" hidden="1"/>
    <cellStyle name="Ispraćena hiperveza" xfId="216" builtinId="9" hidden="1"/>
    <cellStyle name="Ispraćena hiperveza" xfId="218" builtinId="9" hidden="1"/>
    <cellStyle name="Ispraćena hiperveza" xfId="220" builtinId="9" hidden="1"/>
    <cellStyle name="Ispraćena hiperveza" xfId="222" builtinId="9" hidden="1"/>
    <cellStyle name="Ispraćena hiperveza" xfId="224" builtinId="9" hidden="1"/>
    <cellStyle name="Ispraćena hiperveza" xfId="226" builtinId="9" hidden="1"/>
    <cellStyle name="Ispraćena hiperveza" xfId="228" builtinId="9" hidden="1"/>
    <cellStyle name="Ispraćena hiperveza" xfId="230" builtinId="9" hidden="1"/>
    <cellStyle name="Ispraćena hiperveza" xfId="232" builtinId="9" hidden="1"/>
    <cellStyle name="Ispraćena hiperveza" xfId="234" builtinId="9" hidden="1"/>
    <cellStyle name="Ispraćena hiperveza" xfId="236" builtinId="9" hidden="1"/>
    <cellStyle name="Ispraćena hiperveza" xfId="238" builtinId="9" hidden="1"/>
    <cellStyle name="Ispraćena hiperveza" xfId="240" builtinId="9" hidden="1"/>
    <cellStyle name="Ispraćena hiperveza" xfId="242" builtinId="9" hidden="1"/>
    <cellStyle name="Ispraćena hiperveza" xfId="244" builtinId="9" hidden="1"/>
    <cellStyle name="Ispraćena hiperveza" xfId="246" builtinId="9" hidden="1"/>
    <cellStyle name="Ispraćena hiperveza" xfId="248" builtinId="9" hidden="1"/>
    <cellStyle name="Ispraćena hiperveza" xfId="250" builtinId="9" hidden="1"/>
    <cellStyle name="Ispraćena hiperveza" xfId="252" builtinId="9" hidden="1"/>
    <cellStyle name="Ispraćena hiperveza" xfId="254" builtinId="9" hidden="1"/>
    <cellStyle name="Ispraćena hiperveza" xfId="256" builtinId="9" hidden="1"/>
    <cellStyle name="Ispraćena hiperveza" xfId="258" builtinId="9" hidden="1"/>
    <cellStyle name="Ispraćena hiperveza" xfId="260" builtinId="9" hidden="1"/>
    <cellStyle name="Ispraćena hiperveza" xfId="262" builtinId="9" hidden="1"/>
    <cellStyle name="Ispraćena hiperveza" xfId="264" builtinId="9" hidden="1"/>
    <cellStyle name="Ispraćena hiperveza" xfId="266" builtinId="9" hidden="1"/>
    <cellStyle name="Ispraćena hiperveza" xfId="268" builtinId="9" hidden="1"/>
    <cellStyle name="Ispraćena hiperveza" xfId="270" builtinId="9" hidden="1"/>
    <cellStyle name="Ispraćena hiperveza" xfId="272" builtinId="9" hidden="1"/>
    <cellStyle name="Ispraćena hiperveza" xfId="274" builtinId="9" hidden="1"/>
    <cellStyle name="Ispraćena hiperveza" xfId="276" builtinId="9" hidden="1"/>
    <cellStyle name="Ispraćena hiperveza" xfId="278" builtinId="9" hidden="1"/>
    <cellStyle name="Ispraćena hiperveza" xfId="280" builtinId="9" hidden="1"/>
    <cellStyle name="Ispraćena hiperveza" xfId="282" builtinId="9" hidden="1"/>
    <cellStyle name="Ispraćena hiperveza" xfId="284" builtinId="9" hidden="1"/>
    <cellStyle name="Ispraćena hiperveza" xfId="286" builtinId="9" hidden="1"/>
    <cellStyle name="Ispraćena hiperveza" xfId="288" builtinId="9" hidden="1"/>
    <cellStyle name="Ispraćena hiperveza" xfId="290" builtinId="9" hidden="1"/>
    <cellStyle name="Ispraćena hiperveza" xfId="292" builtinId="9" hidden="1"/>
    <cellStyle name="Ispraćena hiperveza" xfId="294" builtinId="9" hidden="1"/>
    <cellStyle name="Ispraćena hiperveza" xfId="296" builtinId="9" hidden="1"/>
    <cellStyle name="Ispraćena hiperveza" xfId="298" builtinId="9" hidden="1"/>
    <cellStyle name="Ispraćena hiperveza" xfId="300" builtinId="9" hidden="1"/>
    <cellStyle name="Ispraćena hiperveza" xfId="302" builtinId="9" hidden="1"/>
    <cellStyle name="Ispraćena hiperveza" xfId="304" builtinId="9" hidden="1"/>
    <cellStyle name="Ispraćena hiperveza" xfId="306" builtinId="9" hidden="1"/>
    <cellStyle name="Ispraćena hiperveza" xfId="308" builtinId="9" hidden="1"/>
    <cellStyle name="Ispraćena hiperveza" xfId="310" builtinId="9" hidden="1"/>
    <cellStyle name="Ispraćena hiperveza" xfId="312" builtinId="9" hidden="1"/>
    <cellStyle name="Ispraćena hiperveza" xfId="314" builtinId="9" hidden="1"/>
    <cellStyle name="Ispraćena hiperveza" xfId="316" builtinId="9" hidden="1"/>
    <cellStyle name="Ispraćena hiperveza" xfId="318" builtinId="9" hidden="1"/>
    <cellStyle name="Ispraćena hiperveza" xfId="320" builtinId="9" hidden="1"/>
    <cellStyle name="Ispraćena hiperveza" xfId="322" builtinId="9" hidden="1"/>
    <cellStyle name="Ispraćena hiperveza" xfId="324" builtinId="9" hidden="1"/>
    <cellStyle name="Ispraćena hiperveza" xfId="326" builtinId="9" hidden="1"/>
    <cellStyle name="Ispraćena hiperveza" xfId="328" builtinId="9" hidden="1"/>
    <cellStyle name="Ispraćena hiperveza" xfId="330" builtinId="9" hidden="1"/>
    <cellStyle name="Ispraćena hiperveza" xfId="332" builtinId="9" hidden="1"/>
    <cellStyle name="Ispraćena hiperveza" xfId="334" builtinId="9" hidden="1"/>
    <cellStyle name="Ispraćena hiperveza" xfId="336" builtinId="9" hidden="1"/>
    <cellStyle name="Ispraćena hiperveza" xfId="338" builtinId="9" hidden="1"/>
    <cellStyle name="Ispraćena hiperveza" xfId="340" builtinId="9" hidden="1"/>
    <cellStyle name="Ispraćena hiperveza" xfId="342" builtinId="9" hidden="1"/>
    <cellStyle name="Ispraćena hiperveza" xfId="344" builtinId="9" hidden="1"/>
    <cellStyle name="Ispraćena hiperveza" xfId="346" builtinId="9" hidden="1"/>
    <cellStyle name="Ispraćena hiperveza" xfId="348" builtinId="9" hidden="1"/>
    <cellStyle name="Ispraćena hiperveza" xfId="350" builtinId="9" hidden="1"/>
    <cellStyle name="Ispraćena hiperveza" xfId="352" builtinId="9" hidden="1"/>
    <cellStyle name="Ispraćena hiperveza" xfId="354" builtinId="9" hidden="1"/>
    <cellStyle name="Ispraćena hiperveza" xfId="356" builtinId="9" hidden="1"/>
    <cellStyle name="Ispraćena hiperveza" xfId="358" builtinId="9" hidden="1"/>
    <cellStyle name="Ispraćena hiperveza" xfId="360" builtinId="9" hidden="1"/>
    <cellStyle name="Ispraćena hiperveza" xfId="362" builtinId="9" hidden="1"/>
    <cellStyle name="Ispraćena hiperveza" xfId="364" builtinId="9" hidden="1"/>
    <cellStyle name="Ispraćena hiperveza" xfId="366" builtinId="9" hidden="1"/>
    <cellStyle name="Ispraćena hiperveza" xfId="368" builtinId="9" hidden="1"/>
    <cellStyle name="Ispraćena hiperveza" xfId="370" builtinId="9" hidden="1"/>
    <cellStyle name="Ispraćena hiperveza" xfId="372" builtinId="9" hidden="1"/>
    <cellStyle name="Ispraćena hiperveza" xfId="374" builtinId="9" hidden="1"/>
    <cellStyle name="Ispraćena hiperveza" xfId="376" builtinId="9" hidden="1"/>
    <cellStyle name="Ispraćena hiperveza" xfId="378" builtinId="9" hidden="1"/>
    <cellStyle name="Ispraćena hiperveza" xfId="380" builtinId="9" hidden="1"/>
    <cellStyle name="Ispraćena hiperveza" xfId="382" builtinId="9" hidden="1"/>
    <cellStyle name="Ispraćena hiperveza" xfId="384" builtinId="9" hidden="1"/>
    <cellStyle name="Ispraćena hiperveza" xfId="386" builtinId="9" hidden="1"/>
    <cellStyle name="Ispraćena hiperveza" xfId="388" builtinId="9" hidden="1"/>
    <cellStyle name="Ispraćena hiperveza" xfId="390" builtinId="9" hidden="1"/>
    <cellStyle name="Ispraćena hiperveza" xfId="392" builtinId="9" hidden="1"/>
    <cellStyle name="Ispraćena hiperveza" xfId="394" builtinId="9" hidden="1"/>
    <cellStyle name="Ispraćena hiperveza" xfId="396" builtinId="9" hidden="1"/>
    <cellStyle name="Ispraćena hiperveza" xfId="398" builtinId="9" hidden="1"/>
    <cellStyle name="Ispraćena hiperveza" xfId="400" builtinId="9" hidden="1"/>
    <cellStyle name="Ispraćena hiperveza" xfId="402" builtinId="9" hidden="1"/>
    <cellStyle name="Ispraćena hiperveza" xfId="404" builtinId="9" hidden="1"/>
    <cellStyle name="Ispraćena hiperveza" xfId="406" builtinId="9" hidden="1"/>
    <cellStyle name="Ispraćena hiperveza" xfId="408" builtinId="9" hidden="1"/>
    <cellStyle name="Ispraćena hiperveza" xfId="410" builtinId="9" hidden="1"/>
    <cellStyle name="Ispraćena hiperveza" xfId="412" builtinId="9" hidden="1"/>
    <cellStyle name="Ispraćena hiperveza" xfId="414" builtinId="9" hidden="1"/>
    <cellStyle name="Ispraćena hiperveza" xfId="416" builtinId="9" hidden="1"/>
    <cellStyle name="Ispraćena hiperveza" xfId="418" builtinId="9" hidden="1"/>
    <cellStyle name="Ispraćena hiperveza" xfId="420" builtinId="9" hidden="1"/>
    <cellStyle name="Ispraćena hiperveza" xfId="422" builtinId="9" hidden="1"/>
    <cellStyle name="Ispraćena hiperveza" xfId="424" builtinId="9" hidden="1"/>
    <cellStyle name="Ispraćena hiperveza" xfId="426" builtinId="9" hidden="1"/>
    <cellStyle name="Ispraćena hiperveza" xfId="428" builtinId="9" hidden="1"/>
    <cellStyle name="Ispraćena hiperveza" xfId="430" builtinId="9" hidden="1"/>
    <cellStyle name="Ispraćena hiperveza" xfId="432" builtinId="9" hidden="1"/>
    <cellStyle name="Ispraćena hiperveza" xfId="434" builtinId="9" hidden="1"/>
    <cellStyle name="Ispraćena hiperveza" xfId="436" builtinId="9" hidden="1"/>
    <cellStyle name="Ispraćena hiperveza" xfId="438" builtinId="9" hidden="1"/>
    <cellStyle name="Ispraćena hiperveza" xfId="440" builtinId="9" hidden="1"/>
    <cellStyle name="Ispraćena hiperveza" xfId="442" builtinId="9" hidden="1"/>
    <cellStyle name="Ispraćena hiperveza" xfId="444" builtinId="9" hidden="1"/>
    <cellStyle name="Ispraćena hiperveza" xfId="446" builtinId="9" hidden="1"/>
    <cellStyle name="Ispraćena hiperveza" xfId="448" builtinId="9" hidden="1"/>
    <cellStyle name="Ispraćena hiperveza" xfId="450" builtinId="9" hidden="1"/>
    <cellStyle name="Ispraćena hiperveza" xfId="452" builtinId="9" hidden="1"/>
    <cellStyle name="Ispraćena hiperveza" xfId="454" builtinId="9" hidden="1"/>
    <cellStyle name="Ispraćena hiperveza" xfId="456" builtinId="9" hidden="1"/>
    <cellStyle name="Ispraćena hiperveza" xfId="462" builtinId="9" hidden="1"/>
    <cellStyle name="Ispraćena hiperveza" xfId="464" builtinId="9" hidden="1"/>
    <cellStyle name="Ispraćena hiperveza" xfId="466" builtinId="9" hidden="1"/>
    <cellStyle name="Ispraćena hiperveza" xfId="468" builtinId="9" hidden="1"/>
    <cellStyle name="Ispraćena hiperveza" xfId="470" builtinId="9" hidden="1"/>
    <cellStyle name="Ispraćena hiperveza" xfId="472" builtinId="9" hidden="1"/>
    <cellStyle name="Ispraćena hiperveza" xfId="474" builtinId="9" hidden="1"/>
    <cellStyle name="Ispraćena hiperveza" xfId="476" builtinId="9" hidden="1"/>
    <cellStyle name="Ispraćena hiperveza" xfId="478" builtinId="9" hidden="1"/>
    <cellStyle name="Ispraćena hiperveza" xfId="480" builtinId="9" hidden="1"/>
    <cellStyle name="Ispraćena hiperveza" xfId="482" builtinId="9" hidden="1"/>
    <cellStyle name="Ispraćena hiperveza" xfId="484" builtinId="9" hidden="1"/>
    <cellStyle name="Ispraćena hiperveza" xfId="486" builtinId="9" hidden="1"/>
    <cellStyle name="Ispraćena hiperveza" xfId="488" builtinId="9" hidden="1"/>
    <cellStyle name="Ispraćena hiperveza" xfId="490" builtinId="9" hidden="1"/>
    <cellStyle name="Ispraćena hiperveza" xfId="492" builtinId="9" hidden="1"/>
    <cellStyle name="Ispraćena hiperveza" xfId="494" builtinId="9" hidden="1"/>
    <cellStyle name="Ispraćena hiperveza" xfId="496" builtinId="9" hidden="1"/>
    <cellStyle name="Ispraćena hiperveza" xfId="498" builtinId="9" hidden="1"/>
    <cellStyle name="Ispraćena hiperveza" xfId="500" builtinId="9" hidden="1"/>
    <cellStyle name="Ispraćena hiperveza" xfId="502" builtinId="9" hidden="1"/>
    <cellStyle name="Ispraćena hiperveza" xfId="504" builtinId="9" hidden="1"/>
    <cellStyle name="Ispraćena hiperveza" xfId="506" builtinId="9" hidden="1"/>
    <cellStyle name="Ispraćena hiperveza" xfId="508" builtinId="9" hidden="1"/>
    <cellStyle name="Ispraćena hiperveza" xfId="510" builtinId="9" hidden="1"/>
    <cellStyle name="Ispraćena hiperveza" xfId="512" builtinId="9" hidden="1"/>
    <cellStyle name="Ispraćena hiperveza" xfId="514" builtinId="9" hidden="1"/>
    <cellStyle name="Ispraćena hiperveza" xfId="516" builtinId="9" hidden="1"/>
    <cellStyle name="Ispraćena hiperveza" xfId="518" builtinId="9" hidden="1"/>
    <cellStyle name="Ispraćena hiperveza" xfId="520" builtinId="9" hidden="1"/>
    <cellStyle name="Ispraćena hiperveza" xfId="522" builtinId="9" hidden="1"/>
    <cellStyle name="Ispraćena hiperveza" xfId="524" builtinId="9" hidden="1"/>
    <cellStyle name="Ispraćena hiperveza" xfId="526" builtinId="9" hidden="1"/>
    <cellStyle name="Ispraćena hiperveza" xfId="528" builtinId="9" hidden="1"/>
    <cellStyle name="Ispraćena hiperveza" xfId="530" builtinId="9" hidden="1"/>
    <cellStyle name="Ispraćena hiperveza" xfId="532" builtinId="9" hidden="1"/>
    <cellStyle name="Ispraćena hiperveza" xfId="534" builtinId="9" hidden="1"/>
    <cellStyle name="Ispraćena hiperveza" xfId="536" builtinId="9" hidden="1"/>
    <cellStyle name="Ispraćena hiperveza" xfId="538" builtinId="9" hidden="1"/>
    <cellStyle name="Ispraćena hiperveza" xfId="540" builtinId="9" hidden="1"/>
    <cellStyle name="Ispraćena hiperveza" xfId="542" builtinId="9" hidden="1"/>
    <cellStyle name="Ispraćena hiperveza" xfId="544" builtinId="9" hidden="1"/>
    <cellStyle name="Ispraćena hiperveza" xfId="546" builtinId="9" hidden="1"/>
    <cellStyle name="Ispraćena hiperveza" xfId="548" builtinId="9" hidden="1"/>
    <cellStyle name="Ispraćena hiperveza" xfId="550" builtinId="9" hidden="1"/>
    <cellStyle name="Ispraćena hiperveza" xfId="552" builtinId="9" hidden="1"/>
    <cellStyle name="Ispraćena hiperveza" xfId="554" builtinId="9" hidden="1"/>
    <cellStyle name="Ispraćena hiperveza" xfId="556" builtinId="9" hidden="1"/>
    <cellStyle name="Ispraćena hiperveza" xfId="558" builtinId="9" hidden="1"/>
    <cellStyle name="Ispraćena hiperveza" xfId="560" builtinId="9" hidden="1"/>
    <cellStyle name="Ispraćena hiperveza" xfId="562" builtinId="9" hidden="1"/>
    <cellStyle name="Ispraćena hiperveza" xfId="564" builtinId="9" hidden="1"/>
    <cellStyle name="Ispraćena hiperveza" xfId="566" builtinId="9" hidden="1"/>
    <cellStyle name="Ispraćena hiperveza" xfId="568" builtinId="9" hidden="1"/>
    <cellStyle name="Ispraćena hiperveza" xfId="570" builtinId="9" hidden="1"/>
    <cellStyle name="Ispraćena hiperveza" xfId="572" builtinId="9" hidden="1"/>
    <cellStyle name="Ispraćena hiperveza" xfId="574" builtinId="9" hidden="1"/>
    <cellStyle name="Ispraćena hiperveza" xfId="576" builtinId="9" hidden="1"/>
    <cellStyle name="Ispraćena hiperveza" xfId="578" builtinId="9" hidden="1"/>
    <cellStyle name="Ispraćena hiperveza" xfId="580" builtinId="9" hidden="1"/>
    <cellStyle name="Ispraćena hiperveza" xfId="582" builtinId="9" hidden="1"/>
    <cellStyle name="Ispraćena hiperveza" xfId="584" builtinId="9" hidden="1"/>
    <cellStyle name="Ispraćena hiperveza" xfId="586" builtinId="9" hidden="1"/>
    <cellStyle name="Ispraćena hiperveza" xfId="588" builtinId="9" hidden="1"/>
    <cellStyle name="Ispraćena hiperveza" xfId="590" builtinId="9" hidden="1"/>
    <cellStyle name="Ispraćena hiperveza" xfId="592" builtinId="9" hidden="1"/>
    <cellStyle name="Ispraćena hiperveza" xfId="594" builtinId="9" hidden="1"/>
    <cellStyle name="Ispraćena hiperveza" xfId="596" builtinId="9" hidden="1"/>
    <cellStyle name="Ispraćena hiperveza" xfId="598" builtinId="9" hidden="1"/>
    <cellStyle name="Ispraćena hiperveza" xfId="600" builtinId="9" hidden="1"/>
    <cellStyle name="Ispraćena hiperveza" xfId="602" builtinId="9" hidden="1"/>
    <cellStyle name="Ispraćena hiperveza" xfId="604" builtinId="9" hidden="1"/>
    <cellStyle name="Ispraćena hiperveza" xfId="606" builtinId="9" hidden="1"/>
    <cellStyle name="Ispraćena hiperveza" xfId="608" builtinId="9" hidden="1"/>
    <cellStyle name="Ispraćena hiperveza" xfId="610" builtinId="9" hidden="1"/>
    <cellStyle name="Ispraćena hiperveza" xfId="612" builtinId="9" hidden="1"/>
    <cellStyle name="Ispraćena hiperveza" xfId="614" builtinId="9" hidden="1"/>
    <cellStyle name="Ispraćena hiperveza" xfId="616" builtinId="9" hidden="1"/>
    <cellStyle name="Ispraćena hiperveza" xfId="618" builtinId="9" hidden="1"/>
    <cellStyle name="Ispraćena hiperveza" xfId="620" builtinId="9" hidden="1"/>
    <cellStyle name="Ispraćena hiperveza" xfId="622" builtinId="9" hidden="1"/>
    <cellStyle name="Ispraćena hiperveza" xfId="624" builtinId="9" hidden="1"/>
    <cellStyle name="Ispraćena hiperveza" xfId="626" builtinId="9" hidden="1"/>
    <cellStyle name="Ispraćena hiperveza" xfId="628" builtinId="9" hidden="1"/>
    <cellStyle name="Ispraćena hiperveza" xfId="630" builtinId="9" hidden="1"/>
    <cellStyle name="Ispraćena hiperveza" xfId="632" builtinId="9" hidden="1"/>
    <cellStyle name="Ispraćena hiperveza" xfId="634" builtinId="9" hidden="1"/>
    <cellStyle name="Ispraćena hiperveza" xfId="636" builtinId="9" hidden="1"/>
    <cellStyle name="Ispraćena hiperveza" xfId="638" builtinId="9" hidden="1"/>
    <cellStyle name="Ispraćena hiperveza" xfId="640" builtinId="9" hidden="1"/>
    <cellStyle name="Ispraćena hiperveza" xfId="642" builtinId="9" hidden="1"/>
    <cellStyle name="Ispraćena hiperveza" xfId="644" builtinId="9" hidden="1"/>
    <cellStyle name="Ispraćena hiperveza" xfId="646" builtinId="9" hidden="1"/>
    <cellStyle name="Ispraćena hiperveza" xfId="648" builtinId="9" hidden="1"/>
    <cellStyle name="Ispraćena hiperveza" xfId="650" builtinId="9" hidden="1"/>
    <cellStyle name="Ispraćena hiperveza" xfId="652" builtinId="9" hidden="1"/>
    <cellStyle name="Ispraćena hiperveza" xfId="654" builtinId="9" hidden="1"/>
    <cellStyle name="Ispraćena hiperveza" xfId="656" builtinId="9" hidden="1"/>
    <cellStyle name="Ispraćena hiperveza" xfId="658" builtinId="9" hidden="1"/>
    <cellStyle name="Ispraćena hiperveza" xfId="660" builtinId="9" hidden="1"/>
    <cellStyle name="Ispraćena hiperveza" xfId="662" builtinId="9" hidden="1"/>
    <cellStyle name="Ispraćena hiperveza" xfId="664" builtinId="9" hidden="1"/>
    <cellStyle name="Ispraćena hiperveza" xfId="666" builtinId="9" hidden="1"/>
    <cellStyle name="Ispraćena hiperveza" xfId="668" builtinId="9" hidden="1"/>
    <cellStyle name="Ispraćena hiperveza" xfId="670" builtinId="9" hidden="1"/>
    <cellStyle name="Ispraćena hiperveza" xfId="672" builtinId="9" hidden="1"/>
    <cellStyle name="Ispraćena hiperveza" xfId="674" builtinId="9" hidden="1"/>
    <cellStyle name="Ispraćena hiperveza" xfId="676" builtinId="9" hidden="1"/>
    <cellStyle name="Ispraćena hiperveza" xfId="677" builtinId="9" hidden="1"/>
    <cellStyle name="Ispraćena hiperveza" xfId="678" builtinId="9" hidden="1"/>
    <cellStyle name="Ispraćena hiperveza" xfId="679" builtinId="9" hidden="1"/>
    <cellStyle name="Ispraćena hiperveza" xfId="681" builtinId="9" hidden="1"/>
    <cellStyle name="Ispraćena hiperveza" xfId="683" builtinId="9" hidden="1"/>
    <cellStyle name="Ispraćena hiperveza" xfId="685" builtinId="9" hidden="1"/>
    <cellStyle name="Ispraćena hiperveza" xfId="687" builtinId="9" hidden="1"/>
    <cellStyle name="Ispraćena hiperveza" xfId="689" builtinId="9" hidden="1"/>
    <cellStyle name="Ispraćena hiperveza" xfId="691" builtinId="9" hidden="1"/>
    <cellStyle name="Ispraćena hiperveza" xfId="693" builtinId="9" hidden="1"/>
    <cellStyle name="Ispraćena hiperveza" xfId="695" builtinId="9" hidden="1"/>
    <cellStyle name="Ispraćena hiperveza" xfId="697" builtinId="9" hidden="1"/>
    <cellStyle name="Ispraćena hiperveza" xfId="699" builtinId="9" hidden="1"/>
    <cellStyle name="Ispraćena hiperveza" xfId="701" builtinId="9" hidden="1"/>
    <cellStyle name="Ispraćena hiperveza" xfId="703" builtinId="9" hidden="1"/>
    <cellStyle name="Ispraćena hiperveza" xfId="705" builtinId="9" hidden="1"/>
    <cellStyle name="Ispraćena hiperveza" xfId="707" builtinId="9" hidden="1"/>
    <cellStyle name="Ispraćena hiperveza" xfId="709" builtinId="9" hidden="1"/>
    <cellStyle name="Ispraćena hiperveza" xfId="711" builtinId="9" hidden="1"/>
    <cellStyle name="Ispraćena hiperveza" xfId="713" builtinId="9" hidden="1"/>
    <cellStyle name="Ispraćena hiperveza" xfId="715" builtinId="9" hidden="1"/>
    <cellStyle name="Ispraćena hiperveza" xfId="717" builtinId="9" hidden="1"/>
    <cellStyle name="Ispraćena hiperveza" xfId="719" builtinId="9" hidden="1"/>
    <cellStyle name="Ispraćena hiperveza" xfId="721" builtinId="9" hidden="1"/>
    <cellStyle name="Ispraćena hiperveza" xfId="723" builtinId="9" hidden="1"/>
    <cellStyle name="Ispraćena hiperveza" xfId="725" builtinId="9" hidden="1"/>
    <cellStyle name="Ispraćena hiperveza" xfId="727" builtinId="9" hidden="1"/>
    <cellStyle name="Ispraćena hiperveza" xfId="729" builtinId="9" hidden="1"/>
    <cellStyle name="Ispraćena hiperveza" xfId="731" builtinId="9" hidden="1"/>
    <cellStyle name="Ispraćena hiperveza" xfId="733" builtinId="9" hidden="1"/>
    <cellStyle name="Ispraćena hiperveza" xfId="735" builtinId="9" hidden="1"/>
    <cellStyle name="Ispraćena hiperveza" xfId="737" builtinId="9" hidden="1"/>
    <cellStyle name="Ispraćena hiperveza" xfId="739" builtinId="9" hidden="1"/>
    <cellStyle name="Ispraćena hiperveza" xfId="741" builtinId="9" hidden="1"/>
    <cellStyle name="Ispraćena hiperveza" xfId="743" builtinId="9" hidden="1"/>
    <cellStyle name="Ispraćena hiperveza" xfId="745" builtinId="9" hidden="1"/>
    <cellStyle name="Ispraćena hiperveza" xfId="747" builtinId="9" hidden="1"/>
    <cellStyle name="Ispraćena hiperveza" xfId="749" builtinId="9" hidden="1"/>
    <cellStyle name="Ispraćena hiperveza" xfId="751" builtinId="9" hidden="1"/>
    <cellStyle name="Ispraćena hiperveza" xfId="753" builtinId="9" hidden="1"/>
    <cellStyle name="Ispraćena hiperveza" xfId="755" builtinId="9" hidden="1"/>
    <cellStyle name="Ispraćena hiperveza" xfId="757" builtinId="9" hidden="1"/>
    <cellStyle name="Ispraćena hiperveza" xfId="759" builtinId="9" hidden="1"/>
    <cellStyle name="Ispraćena hiperveza" xfId="761" builtinId="9" hidden="1"/>
    <cellStyle name="Ispraćena hiperveza" xfId="763" builtinId="9" hidden="1"/>
    <cellStyle name="Ispraćena hiperveza" xfId="765" builtinId="9" hidden="1"/>
    <cellStyle name="Ispraćena hiperveza" xfId="767" builtinId="9" hidden="1"/>
    <cellStyle name="Ispraćena hiperveza" xfId="769" builtinId="9" hidden="1"/>
    <cellStyle name="Ispraćena hiperveza" xfId="771" builtinId="9" hidden="1"/>
    <cellStyle name="Ispraćena hiperveza" xfId="773" builtinId="9" hidden="1"/>
    <cellStyle name="Ispraćena hiperveza" xfId="775" builtinId="9" hidden="1"/>
    <cellStyle name="Ispraćena hiperveza" xfId="777" builtinId="9" hidden="1"/>
    <cellStyle name="Ispraćena hiperveza" xfId="779" builtinId="9" hidden="1"/>
    <cellStyle name="Ispraćena hiperveza" xfId="781" builtinId="9" hidden="1"/>
    <cellStyle name="Ispraćena hiperveza" xfId="783" builtinId="9" hidden="1"/>
    <cellStyle name="Ispraćena hiperveza" xfId="785" builtinId="9" hidden="1"/>
    <cellStyle name="Ispraćena hiperveza" xfId="787" builtinId="9" hidden="1"/>
    <cellStyle name="Ispraćena hiperveza" xfId="789" builtinId="9" hidden="1"/>
    <cellStyle name="Ispraćena hiperveza" xfId="791" builtinId="9" hidden="1"/>
    <cellStyle name="Ispraćena hiperveza" xfId="793" builtinId="9" hidden="1"/>
    <cellStyle name="Ispraćena hiperveza" xfId="795" builtinId="9" hidden="1"/>
    <cellStyle name="Ispraćena hiperveza" xfId="797" builtinId="9" hidden="1"/>
    <cellStyle name="Ispraćena hiperveza" xfId="799" builtinId="9" hidden="1"/>
    <cellStyle name="Ispraćena hiperveza" xfId="801" builtinId="9" hidden="1"/>
    <cellStyle name="Ispraćena hiperveza" xfId="803" builtinId="9" hidden="1"/>
    <cellStyle name="Ispraćena hiperveza" xfId="805" builtinId="9" hidden="1"/>
    <cellStyle name="Ispraćena hiperveza" xfId="807" builtinId="9" hidden="1"/>
    <cellStyle name="Ispraćena hiperveza" xfId="809" builtinId="9" hidden="1"/>
    <cellStyle name="Ispraćena hiperveza" xfId="811" builtinId="9" hidden="1"/>
    <cellStyle name="Ispraćena hiperveza" xfId="813" builtinId="9" hidden="1"/>
    <cellStyle name="Ispraćena hiperveza" xfId="815" builtinId="9" hidden="1"/>
    <cellStyle name="Ispraćena hiperveza" xfId="817" builtinId="9" hidden="1"/>
    <cellStyle name="Ispraćena hiperveza" xfId="819" builtinId="9" hidden="1"/>
    <cellStyle name="Ispraćena hiperveza" xfId="821" builtinId="9" hidden="1"/>
    <cellStyle name="Ispraćena hiperveza" xfId="823" builtinId="9" hidden="1"/>
    <cellStyle name="Ispraćena hiperveza" xfId="825" builtinId="9" hidden="1"/>
    <cellStyle name="Ispraćena hiperveza" xfId="827" builtinId="9" hidden="1"/>
    <cellStyle name="Ispraćena hiperveza" xfId="829" builtinId="9" hidden="1"/>
    <cellStyle name="Ispraćena hiperveza" xfId="831" builtinId="9" hidden="1"/>
    <cellStyle name="Ispraćena hiperveza" xfId="833" builtinId="9" hidden="1"/>
    <cellStyle name="Ispraćena hiperveza" xfId="835" builtinId="9" hidden="1"/>
    <cellStyle name="Ispraćena hiperveza" xfId="837" builtinId="9" hidden="1"/>
    <cellStyle name="Ispraćena hiperveza" xfId="839" builtinId="9" hidden="1"/>
    <cellStyle name="Ispraćena hiperveza" xfId="841" builtinId="9" hidden="1"/>
    <cellStyle name="Ispraćena hiperveza" xfId="843" builtinId="9" hidden="1"/>
    <cellStyle name="Ispraćena hiperveza" xfId="845" builtinId="9" hidden="1"/>
    <cellStyle name="Ispraćena hiperveza" xfId="847" builtinId="9" hidden="1"/>
    <cellStyle name="Ispraćena hiperveza" xfId="849" builtinId="9" hidden="1"/>
    <cellStyle name="Ispraćena hiperveza" xfId="851" builtinId="9" hidden="1"/>
    <cellStyle name="Ispraćena hiperveza" xfId="853" builtinId="9" hidden="1"/>
    <cellStyle name="Ispraćena hiperveza" xfId="855" builtinId="9" hidden="1"/>
    <cellStyle name="Ispraćena hiperveza" xfId="857" builtinId="9" hidden="1"/>
    <cellStyle name="Ispraćena hiperveza" xfId="859" builtinId="9" hidden="1"/>
    <cellStyle name="Ispraćena hiperveza" xfId="861" builtinId="9" hidden="1"/>
    <cellStyle name="Ispraćena hiperveza" xfId="863" builtinId="9" hidden="1"/>
    <cellStyle name="Ispraćena hiperveza" xfId="865" builtinId="9" hidden="1"/>
    <cellStyle name="Ispraćena hiperveza" xfId="867" builtinId="9" hidden="1"/>
    <cellStyle name="Ispraćena hiperveza" xfId="869" builtinId="9" hidden="1"/>
    <cellStyle name="Ispraćena hiperveza" xfId="871" builtinId="9" hidden="1"/>
    <cellStyle name="Ispraćena hiperveza" xfId="873" builtinId="9" hidden="1"/>
    <cellStyle name="Ispraćena hiperveza" xfId="875" builtinId="9" hidden="1"/>
    <cellStyle name="Ispraćena hiperveza" xfId="877" builtinId="9" hidden="1"/>
    <cellStyle name="Ispraćena hiperveza" xfId="879" builtinId="9" hidden="1"/>
    <cellStyle name="Ispraćena hiperveza" xfId="881" builtinId="9" hidden="1"/>
    <cellStyle name="Ispraćena hiperveza" xfId="883" builtinId="9" hidden="1"/>
    <cellStyle name="Ispraćena hiperveza" xfId="885" builtinId="9" hidden="1"/>
    <cellStyle name="Ispraćena hiperveza" xfId="887" builtinId="9" hidden="1"/>
    <cellStyle name="Ispraćena hiperveza" xfId="889" builtinId="9" hidden="1"/>
    <cellStyle name="Ispraćena hiperveza" xfId="891" builtinId="9" hidden="1"/>
    <cellStyle name="Ispraćena hiperveza" xfId="893" builtinId="9" hidden="1"/>
    <cellStyle name="Ispraćena hiperveza" xfId="895" builtinId="9" hidden="1"/>
    <cellStyle name="Ispraćena hiperveza" xfId="897" builtinId="9" hidden="1"/>
    <cellStyle name="Ispraćena hiperveza" xfId="899" builtinId="9" hidden="1"/>
    <cellStyle name="Ispraćena hiperveza" xfId="901" builtinId="9" hidden="1"/>
    <cellStyle name="Ispraćena hiperveza" xfId="903" builtinId="9" hidden="1"/>
    <cellStyle name="Ispraćena hiperveza" xfId="905" builtinId="9" hidden="1"/>
    <cellStyle name="Ispraćena hiperveza" xfId="907" builtinId="9" hidden="1"/>
    <cellStyle name="Ispraćena hiperveza" xfId="909" builtinId="9" hidden="1"/>
    <cellStyle name="Ispraćena hiperveza" xfId="911" builtinId="9" hidden="1"/>
    <cellStyle name="Ispraćena hiperveza" xfId="913" builtinId="9" hidden="1"/>
    <cellStyle name="Ispraćena hiperveza" xfId="915" builtinId="9" hidden="1"/>
    <cellStyle name="Ispraćena hiperveza" xfId="917" builtinId="9" hidden="1"/>
    <cellStyle name="Ispraćena hiperveza" xfId="919" builtinId="9" hidden="1"/>
    <cellStyle name="Ispraćena hiperveza" xfId="921" builtinId="9" hidden="1"/>
    <cellStyle name="Ispraćena hiperveza" xfId="923" builtinId="9" hidden="1"/>
    <cellStyle name="Ispraćena hiperveza" xfId="925" builtinId="9" hidden="1"/>
    <cellStyle name="Ispraćena hiperveza" xfId="927" builtinId="9" hidden="1"/>
    <cellStyle name="Ispraćena hiperveza" xfId="929" builtinId="9" hidden="1"/>
    <cellStyle name="Ispraćena hiperveza" xfId="931" builtinId="9" hidden="1"/>
    <cellStyle name="Ispraćena hiperveza" xfId="933" builtinId="9" hidden="1"/>
    <cellStyle name="Ispraćena hiperveza" xfId="935" builtinId="9" hidden="1"/>
    <cellStyle name="Ispraćena hiperveza" xfId="937" builtinId="9" hidden="1"/>
    <cellStyle name="Ispraćena hiperveza" xfId="939" builtinId="9" hidden="1"/>
    <cellStyle name="Ispraćena hiperveza" xfId="941" builtinId="9" hidden="1"/>
    <cellStyle name="Ispraćena hiperveza" xfId="943" builtinId="9" hidden="1"/>
    <cellStyle name="Ispraćena hiperveza" xfId="945" builtinId="9" hidden="1"/>
    <cellStyle name="Ispraćena hiperveza" xfId="947" builtinId="9" hidden="1"/>
    <cellStyle name="Ispraćena hiperveza" xfId="949" builtinId="9" hidden="1"/>
    <cellStyle name="Ispraćena hiperveza" xfId="951" builtinId="9" hidden="1"/>
    <cellStyle name="Ispraćena hiperveza" xfId="953" builtinId="9" hidden="1"/>
    <cellStyle name="Loše" xfId="460" builtinId="27"/>
    <cellStyle name="Normal_1" xfId="459" xr:uid="{00000000-0005-0000-0000-0000B8030000}"/>
    <cellStyle name="Normal_UNOS08ust" xfId="458" xr:uid="{00000000-0005-0000-0000-0000B9030000}"/>
    <cellStyle name="Normalan" xfId="0" builtinId="0"/>
    <cellStyle name="Zarez" xfId="457" builtinId="3"/>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sheetPr>
  <dimension ref="A1:F448"/>
  <sheetViews>
    <sheetView tabSelected="1" view="pageBreakPreview" topLeftCell="A200" zoomScale="85" zoomScaleNormal="85" zoomScaleSheetLayoutView="85" zoomScalePageLayoutView="85" workbookViewId="0">
      <selection activeCell="C215" sqref="C215"/>
    </sheetView>
  </sheetViews>
  <sheetFormatPr defaultColWidth="8.75" defaultRowHeight="15.75" x14ac:dyDescent="0.25"/>
  <cols>
    <col min="1" max="1" width="7.125" style="6" customWidth="1"/>
    <col min="2" max="2" width="5.75" style="8" customWidth="1"/>
    <col min="3" max="3" width="90.375" style="6" customWidth="1"/>
    <col min="4" max="4" width="41.25" style="12" customWidth="1"/>
    <col min="5" max="5" width="17.75" style="72" customWidth="1"/>
    <col min="6" max="6" width="34.875" style="64" customWidth="1"/>
    <col min="7" max="16384" width="8.75" style="1"/>
  </cols>
  <sheetData>
    <row r="1" spans="1:6" x14ac:dyDescent="0.25">
      <c r="A1" s="85"/>
      <c r="B1" s="117"/>
      <c r="C1" s="213" t="s">
        <v>83</v>
      </c>
      <c r="D1" s="213"/>
      <c r="E1" s="213"/>
      <c r="F1" s="83"/>
    </row>
    <row r="2" spans="1:6" x14ac:dyDescent="0.25">
      <c r="C2" s="214" t="s">
        <v>231</v>
      </c>
      <c r="D2" s="214"/>
      <c r="E2" s="214"/>
    </row>
    <row r="3" spans="1:6" x14ac:dyDescent="0.25">
      <c r="A3" s="98"/>
      <c r="B3" s="102"/>
      <c r="C3" s="4" t="s">
        <v>369</v>
      </c>
      <c r="D3" s="5"/>
      <c r="E3" s="64"/>
      <c r="F3" s="100"/>
    </row>
    <row r="4" spans="1:6" x14ac:dyDescent="0.25">
      <c r="A4" s="98"/>
      <c r="B4" s="102"/>
      <c r="D4" s="7" t="s">
        <v>88</v>
      </c>
      <c r="E4" s="65" t="s">
        <v>114</v>
      </c>
      <c r="F4" s="101"/>
    </row>
    <row r="5" spans="1:6" x14ac:dyDescent="0.25">
      <c r="A5" s="98"/>
      <c r="B5" s="102"/>
      <c r="C5" s="8" t="s">
        <v>77</v>
      </c>
      <c r="D5" s="9">
        <f>+F35</f>
        <v>855362000</v>
      </c>
      <c r="E5" s="66">
        <f>+D5/D13</f>
        <v>0.85990228405983593</v>
      </c>
      <c r="F5" s="100"/>
    </row>
    <row r="6" spans="1:6" x14ac:dyDescent="0.25">
      <c r="A6" s="98"/>
      <c r="B6" s="102"/>
      <c r="C6" s="8" t="s">
        <v>121</v>
      </c>
      <c r="D6" s="9">
        <f>+F173</f>
        <v>49664840</v>
      </c>
      <c r="E6" s="66">
        <f>+D6/D13</f>
        <v>4.9928462280842849E-2</v>
      </c>
      <c r="F6" s="100"/>
    </row>
    <row r="7" spans="1:6" x14ac:dyDescent="0.25">
      <c r="A7" s="98"/>
      <c r="B7" s="102"/>
      <c r="C7" s="8" t="s">
        <v>123</v>
      </c>
      <c r="D7" s="9">
        <f>F240</f>
        <v>18350160</v>
      </c>
      <c r="E7" s="66">
        <f>+D7/D13</f>
        <v>1.8447563133344058E-2</v>
      </c>
      <c r="F7" s="100"/>
    </row>
    <row r="8" spans="1:6" x14ac:dyDescent="0.25">
      <c r="A8" s="98"/>
      <c r="B8" s="102"/>
      <c r="C8" s="8" t="s">
        <v>78</v>
      </c>
      <c r="D8" s="9">
        <f>SUM(F374)</f>
        <v>8364000</v>
      </c>
      <c r="E8" s="66">
        <f>+D8/D13</f>
        <v>8.4083963326363198E-3</v>
      </c>
      <c r="F8" s="100"/>
    </row>
    <row r="9" spans="1:6" x14ac:dyDescent="0.25">
      <c r="A9" s="98"/>
      <c r="B9" s="102"/>
      <c r="C9" s="8" t="s">
        <v>370</v>
      </c>
      <c r="D9" s="9">
        <v>2699000</v>
      </c>
      <c r="E9" s="66">
        <f>+D9/D13</f>
        <v>2.7133263631976836E-3</v>
      </c>
      <c r="F9" s="100"/>
    </row>
    <row r="10" spans="1:6" x14ac:dyDescent="0.25">
      <c r="A10" s="98"/>
      <c r="B10" s="102"/>
      <c r="C10" s="8" t="s">
        <v>79</v>
      </c>
      <c r="D10" s="9">
        <v>59680000</v>
      </c>
      <c r="E10" s="66">
        <f>+D10/D13</f>
        <v>5.9996783014315588E-2</v>
      </c>
      <c r="F10" s="100"/>
    </row>
    <row r="11" spans="1:6" x14ac:dyDescent="0.25">
      <c r="A11" s="98"/>
      <c r="B11" s="102"/>
      <c r="C11" s="8" t="s">
        <v>80</v>
      </c>
      <c r="D11" s="9">
        <f>F431</f>
        <v>600000</v>
      </c>
      <c r="E11" s="66">
        <f>+D11/D13</f>
        <v>6.0318481582756955E-4</v>
      </c>
      <c r="F11" s="100"/>
    </row>
    <row r="12" spans="1:6" x14ac:dyDescent="0.25">
      <c r="A12" s="98"/>
      <c r="B12" s="76"/>
      <c r="C12" s="10"/>
      <c r="D12" s="11"/>
      <c r="E12" s="67"/>
      <c r="F12" s="105"/>
    </row>
    <row r="13" spans="1:6" x14ac:dyDescent="0.25">
      <c r="A13" s="98"/>
      <c r="B13" s="102"/>
      <c r="C13" s="16" t="s">
        <v>87</v>
      </c>
      <c r="D13" s="9">
        <f>SUM(D5:D11)</f>
        <v>994720000</v>
      </c>
      <c r="E13" s="68">
        <f>SUM(E5:E11)</f>
        <v>0.99999999999999989</v>
      </c>
      <c r="F13" s="106"/>
    </row>
    <row r="14" spans="1:6" ht="19.149999999999999" customHeight="1" x14ac:dyDescent="0.25">
      <c r="A14" s="4"/>
      <c r="B14" s="8">
        <v>1</v>
      </c>
      <c r="C14" s="4" t="s">
        <v>354</v>
      </c>
      <c r="D14" s="94"/>
      <c r="E14" s="64"/>
    </row>
    <row r="15" spans="1:6" s="52" customFormat="1" ht="99.6" customHeight="1" x14ac:dyDescent="0.25">
      <c r="A15" s="129"/>
      <c r="B15" s="130"/>
      <c r="C15" s="215" t="s">
        <v>389</v>
      </c>
      <c r="D15" s="216"/>
      <c r="E15" s="216"/>
      <c r="F15" s="216"/>
    </row>
    <row r="16" spans="1:6" ht="15.75" customHeight="1" x14ac:dyDescent="0.25">
      <c r="A16" s="131">
        <v>424221</v>
      </c>
      <c r="B16" s="120"/>
      <c r="C16" s="15" t="s">
        <v>355</v>
      </c>
      <c r="D16" s="15"/>
      <c r="E16" s="45">
        <v>290000000</v>
      </c>
      <c r="F16" s="132"/>
    </row>
    <row r="17" spans="1:6" ht="25.9" customHeight="1" x14ac:dyDescent="0.25">
      <c r="A17" s="131">
        <v>424221</v>
      </c>
      <c r="B17" s="120"/>
      <c r="C17" s="15" t="s">
        <v>356</v>
      </c>
      <c r="D17" s="15"/>
      <c r="E17" s="41">
        <f>75000000-15000000</f>
        <v>60000000</v>
      </c>
      <c r="F17" s="132"/>
    </row>
    <row r="18" spans="1:6" s="93" customFormat="1" x14ac:dyDescent="0.25">
      <c r="A18" s="131">
        <v>424221</v>
      </c>
      <c r="B18" s="120"/>
      <c r="C18" s="15" t="s">
        <v>357</v>
      </c>
      <c r="D18" s="15"/>
      <c r="E18" s="41">
        <f>70000000-10000000</f>
        <v>60000000</v>
      </c>
      <c r="F18" s="132"/>
    </row>
    <row r="19" spans="1:6" x14ac:dyDescent="0.25">
      <c r="A19" s="131">
        <v>424221</v>
      </c>
      <c r="B19" s="120"/>
      <c r="C19" s="15" t="s">
        <v>358</v>
      </c>
      <c r="D19" s="15"/>
      <c r="E19" s="41">
        <f>70000000-0</f>
        <v>70000000</v>
      </c>
      <c r="F19" s="132"/>
    </row>
    <row r="20" spans="1:6" x14ac:dyDescent="0.25">
      <c r="A20" s="131">
        <v>424221</v>
      </c>
      <c r="B20" s="120"/>
      <c r="C20" s="15" t="s">
        <v>359</v>
      </c>
      <c r="D20" s="15"/>
      <c r="E20" s="45">
        <v>10000000</v>
      </c>
      <c r="F20" s="132"/>
    </row>
    <row r="21" spans="1:6" x14ac:dyDescent="0.25">
      <c r="A21" s="131">
        <v>424221</v>
      </c>
      <c r="B21" s="120"/>
      <c r="C21" s="15" t="s">
        <v>360</v>
      </c>
      <c r="D21" s="15"/>
      <c r="E21" s="41">
        <v>10000000</v>
      </c>
      <c r="F21" s="132"/>
    </row>
    <row r="22" spans="1:6" x14ac:dyDescent="0.25">
      <c r="A22" s="131">
        <v>424221</v>
      </c>
      <c r="B22" s="120"/>
      <c r="C22" s="44" t="s">
        <v>361</v>
      </c>
      <c r="D22" s="44"/>
      <c r="E22" s="41">
        <v>7000000</v>
      </c>
      <c r="F22" s="132"/>
    </row>
    <row r="23" spans="1:6" x14ac:dyDescent="0.25">
      <c r="A23" s="131">
        <v>424221</v>
      </c>
      <c r="B23" s="120"/>
      <c r="C23" s="111" t="s">
        <v>362</v>
      </c>
      <c r="D23" s="111"/>
      <c r="E23" s="41">
        <v>12000000</v>
      </c>
      <c r="F23" s="132"/>
    </row>
    <row r="24" spans="1:6" x14ac:dyDescent="0.25">
      <c r="A24" s="131">
        <v>424221</v>
      </c>
      <c r="B24" s="120"/>
      <c r="C24" s="15" t="s">
        <v>363</v>
      </c>
      <c r="D24" s="15"/>
      <c r="E24" s="41">
        <v>12000000</v>
      </c>
      <c r="F24" s="132"/>
    </row>
    <row r="25" spans="1:6" x14ac:dyDescent="0.25">
      <c r="A25" s="131">
        <v>424221</v>
      </c>
      <c r="B25" s="120"/>
      <c r="C25" s="15" t="s">
        <v>364</v>
      </c>
      <c r="D25" s="15"/>
      <c r="E25" s="45">
        <v>8000000</v>
      </c>
      <c r="F25" s="132"/>
    </row>
    <row r="26" spans="1:6" ht="31.5" x14ac:dyDescent="0.25">
      <c r="A26" s="131">
        <v>424221</v>
      </c>
      <c r="B26" s="120"/>
      <c r="C26" s="27" t="s">
        <v>391</v>
      </c>
      <c r="D26" s="27"/>
      <c r="E26" s="41">
        <f>18000000-3000000</f>
        <v>15000000</v>
      </c>
      <c r="F26" s="132"/>
    </row>
    <row r="27" spans="1:6" x14ac:dyDescent="0.25">
      <c r="A27" s="131">
        <v>424221</v>
      </c>
      <c r="B27" s="120"/>
      <c r="C27" s="27" t="s">
        <v>390</v>
      </c>
      <c r="D27" s="27"/>
      <c r="E27" s="41">
        <v>10000000</v>
      </c>
      <c r="F27" s="132"/>
    </row>
    <row r="28" spans="1:6" x14ac:dyDescent="0.25">
      <c r="A28" s="131">
        <v>424221</v>
      </c>
      <c r="B28" s="120"/>
      <c r="C28" s="15" t="s">
        <v>365</v>
      </c>
      <c r="D28" s="15"/>
      <c r="E28" s="41">
        <v>80000000</v>
      </c>
      <c r="F28" s="132"/>
    </row>
    <row r="29" spans="1:6" ht="21.75" customHeight="1" x14ac:dyDescent="0.25">
      <c r="A29" s="131">
        <v>424221</v>
      </c>
      <c r="B29" s="120"/>
      <c r="C29" s="15" t="s">
        <v>366</v>
      </c>
      <c r="D29" s="15"/>
      <c r="E29" s="45">
        <v>8000000</v>
      </c>
      <c r="F29" s="132"/>
    </row>
    <row r="30" spans="1:6" s="93" customFormat="1" x14ac:dyDescent="0.25">
      <c r="A30" s="131">
        <v>424221</v>
      </c>
      <c r="B30" s="120"/>
      <c r="C30" s="46" t="s">
        <v>177</v>
      </c>
      <c r="D30" s="46"/>
      <c r="E30" s="41">
        <f>6000000-1000000</f>
        <v>5000000</v>
      </c>
      <c r="F30" s="133"/>
    </row>
    <row r="31" spans="1:6" ht="47.25" x14ac:dyDescent="0.25">
      <c r="A31" s="131">
        <v>424221</v>
      </c>
      <c r="B31" s="120"/>
      <c r="C31" s="46" t="s">
        <v>367</v>
      </c>
      <c r="D31" s="46"/>
      <c r="E31" s="41">
        <f>18000000-1000000</f>
        <v>17000000</v>
      </c>
      <c r="F31" s="132"/>
    </row>
    <row r="32" spans="1:6" x14ac:dyDescent="0.25">
      <c r="A32" s="131">
        <v>424221</v>
      </c>
      <c r="B32" s="120"/>
      <c r="C32" s="59" t="s">
        <v>368</v>
      </c>
      <c r="D32" s="59"/>
      <c r="E32" s="53">
        <v>35482000</v>
      </c>
      <c r="F32" s="133"/>
    </row>
    <row r="33" spans="1:6" x14ac:dyDescent="0.25">
      <c r="A33" s="35"/>
      <c r="B33" s="120"/>
      <c r="C33" s="59" t="s">
        <v>402</v>
      </c>
      <c r="D33" s="59"/>
      <c r="E33" s="184">
        <v>145880000</v>
      </c>
      <c r="F33" s="149"/>
    </row>
    <row r="34" spans="1:6" x14ac:dyDescent="0.25">
      <c r="A34" s="98"/>
      <c r="B34" s="76"/>
      <c r="C34" s="103"/>
      <c r="D34" s="19"/>
      <c r="E34" s="172"/>
      <c r="F34" s="107"/>
    </row>
    <row r="35" spans="1:6" x14ac:dyDescent="0.25">
      <c r="A35" s="98"/>
      <c r="B35" s="102"/>
      <c r="C35" s="98"/>
      <c r="D35" s="22" t="s">
        <v>81</v>
      </c>
      <c r="E35" s="69"/>
      <c r="F35" s="70">
        <f>+E16+E17+E18+E19+E20+E21+E22+E23+E24+E25+E26+E27+E28+E29+E30+E31+E32+E33</f>
        <v>855362000</v>
      </c>
    </row>
    <row r="36" spans="1:6" x14ac:dyDescent="0.25">
      <c r="B36" s="8">
        <v>2</v>
      </c>
      <c r="C36" s="23" t="s">
        <v>121</v>
      </c>
      <c r="E36" s="28"/>
      <c r="F36" s="28"/>
    </row>
    <row r="37" spans="1:6" x14ac:dyDescent="0.25">
      <c r="C37" s="23"/>
      <c r="E37" s="28"/>
      <c r="F37" s="28"/>
    </row>
    <row r="38" spans="1:6" x14ac:dyDescent="0.25">
      <c r="B38" s="8" t="s">
        <v>127</v>
      </c>
      <c r="C38" s="39" t="s">
        <v>1</v>
      </c>
      <c r="E38" s="28"/>
      <c r="F38" s="28"/>
    </row>
    <row r="39" spans="1:6" ht="33" customHeight="1" x14ac:dyDescent="0.25">
      <c r="B39" s="118"/>
      <c r="C39" s="217" t="s">
        <v>116</v>
      </c>
      <c r="D39" s="217"/>
      <c r="E39" s="217"/>
      <c r="F39" s="217"/>
    </row>
    <row r="40" spans="1:6" ht="19.149999999999999" customHeight="1" x14ac:dyDescent="0.25">
      <c r="A40" s="35">
        <v>421422</v>
      </c>
      <c r="B40" s="119"/>
      <c r="C40" s="27" t="s">
        <v>17</v>
      </c>
      <c r="D40" s="43"/>
      <c r="E40" s="41">
        <v>120000</v>
      </c>
      <c r="F40" s="42"/>
    </row>
    <row r="41" spans="1:6" x14ac:dyDescent="0.25">
      <c r="C41" s="24" t="s">
        <v>0</v>
      </c>
      <c r="E41" s="28"/>
      <c r="F41" s="17">
        <f>SUM(E40)</f>
        <v>120000</v>
      </c>
    </row>
    <row r="42" spans="1:6" x14ac:dyDescent="0.25">
      <c r="B42" s="118"/>
      <c r="C42" s="18"/>
      <c r="D42" s="19"/>
      <c r="E42" s="25"/>
      <c r="F42" s="21"/>
    </row>
    <row r="43" spans="1:6" x14ac:dyDescent="0.25">
      <c r="B43" s="8" t="s">
        <v>128</v>
      </c>
      <c r="C43" s="218" t="s">
        <v>101</v>
      </c>
      <c r="D43" s="218"/>
      <c r="E43" s="28"/>
      <c r="F43" s="28"/>
    </row>
    <row r="44" spans="1:6" ht="245.25" customHeight="1" x14ac:dyDescent="0.25">
      <c r="B44" s="118"/>
      <c r="C44" s="203" t="s">
        <v>232</v>
      </c>
      <c r="D44" s="203"/>
      <c r="E44" s="203"/>
      <c r="F44" s="203"/>
    </row>
    <row r="45" spans="1:6" s="2" customFormat="1" x14ac:dyDescent="0.25">
      <c r="A45" s="35">
        <v>422221</v>
      </c>
      <c r="B45" s="120"/>
      <c r="C45" s="27" t="s">
        <v>12</v>
      </c>
      <c r="D45" s="43"/>
      <c r="E45" s="41">
        <f>3000000-1200000</f>
        <v>1800000</v>
      </c>
      <c r="F45" s="162"/>
    </row>
    <row r="46" spans="1:6" s="2" customFormat="1" x14ac:dyDescent="0.25">
      <c r="A46" s="35">
        <v>422231</v>
      </c>
      <c r="B46" s="120"/>
      <c r="C46" s="27" t="s">
        <v>14</v>
      </c>
      <c r="D46" s="43"/>
      <c r="E46" s="41">
        <f>3000000-1404600</f>
        <v>1595400</v>
      </c>
      <c r="F46" s="162"/>
    </row>
    <row r="47" spans="1:6" s="2" customFormat="1" x14ac:dyDescent="0.25">
      <c r="A47" s="35">
        <v>424221</v>
      </c>
      <c r="B47" s="120"/>
      <c r="C47" s="27" t="s">
        <v>233</v>
      </c>
      <c r="D47" s="43"/>
      <c r="E47" s="41">
        <f>10000000-5000000</f>
        <v>5000000</v>
      </c>
      <c r="F47" s="51"/>
    </row>
    <row r="48" spans="1:6" s="2" customFormat="1" x14ac:dyDescent="0.25">
      <c r="A48" s="35">
        <v>423322</v>
      </c>
      <c r="B48" s="120"/>
      <c r="C48" s="27" t="s">
        <v>13</v>
      </c>
      <c r="D48" s="43"/>
      <c r="E48" s="41">
        <f>2000000-320000</f>
        <v>1680000</v>
      </c>
      <c r="F48" s="167"/>
    </row>
    <row r="49" spans="1:6" s="2" customFormat="1" x14ac:dyDescent="0.25">
      <c r="A49" s="35">
        <v>424221</v>
      </c>
      <c r="B49" s="120"/>
      <c r="C49" s="27" t="s">
        <v>234</v>
      </c>
      <c r="D49" s="43"/>
      <c r="E49" s="41">
        <f>10000000-5000000</f>
        <v>5000000</v>
      </c>
      <c r="F49" s="42"/>
    </row>
    <row r="50" spans="1:6" s="2" customFormat="1" x14ac:dyDescent="0.25">
      <c r="A50" s="35">
        <v>422392</v>
      </c>
      <c r="B50" s="120"/>
      <c r="C50" s="27" t="s">
        <v>18</v>
      </c>
      <c r="D50" s="40"/>
      <c r="E50" s="41">
        <v>300000</v>
      </c>
      <c r="F50" s="163"/>
    </row>
    <row r="51" spans="1:6" s="2" customFormat="1" x14ac:dyDescent="0.25">
      <c r="A51" s="35">
        <v>422211</v>
      </c>
      <c r="B51" s="120"/>
      <c r="C51" s="27" t="s">
        <v>15</v>
      </c>
      <c r="D51" s="27"/>
      <c r="E51" s="41">
        <v>200000</v>
      </c>
      <c r="F51" s="162"/>
    </row>
    <row r="52" spans="1:6" x14ac:dyDescent="0.25">
      <c r="A52" s="35"/>
      <c r="B52" s="119"/>
      <c r="C52" s="47" t="s">
        <v>0</v>
      </c>
      <c r="D52" s="43"/>
      <c r="E52" s="42"/>
      <c r="F52" s="50">
        <v>21291045.530000001</v>
      </c>
    </row>
    <row r="53" spans="1:6" x14ac:dyDescent="0.25">
      <c r="B53" s="118"/>
      <c r="C53" s="18"/>
      <c r="D53" s="19"/>
      <c r="E53" s="25"/>
      <c r="F53" s="21"/>
    </row>
    <row r="54" spans="1:6" ht="22.15" customHeight="1" x14ac:dyDescent="0.25">
      <c r="B54" s="8" t="s">
        <v>129</v>
      </c>
      <c r="C54" s="39" t="s">
        <v>90</v>
      </c>
      <c r="E54" s="28"/>
      <c r="F54" s="28"/>
    </row>
    <row r="55" spans="1:6" s="2" customFormat="1" x14ac:dyDescent="0.25">
      <c r="A55" s="35"/>
      <c r="B55" s="97"/>
      <c r="C55" s="188" t="s">
        <v>179</v>
      </c>
      <c r="D55" s="188"/>
      <c r="E55" s="188"/>
      <c r="F55" s="204"/>
    </row>
    <row r="56" spans="1:6" ht="19.5" customHeight="1" x14ac:dyDescent="0.25">
      <c r="A56" s="6">
        <v>424221</v>
      </c>
      <c r="B56" s="120"/>
      <c r="C56" s="27" t="s">
        <v>91</v>
      </c>
      <c r="D56" s="27" t="s">
        <v>148</v>
      </c>
      <c r="E56" s="41">
        <f>SUM(5000*120)</f>
        <v>600000</v>
      </c>
      <c r="F56" s="75"/>
    </row>
    <row r="57" spans="1:6" ht="17.649999999999999" customHeight="1" x14ac:dyDescent="0.25">
      <c r="A57" s="6">
        <v>422231</v>
      </c>
      <c r="B57" s="120"/>
      <c r="C57" s="27" t="s">
        <v>14</v>
      </c>
      <c r="D57" s="27" t="s">
        <v>235</v>
      </c>
      <c r="E57" s="41">
        <f>SUM(100*2*3*120)</f>
        <v>72000</v>
      </c>
      <c r="F57" s="162"/>
    </row>
    <row r="58" spans="1:6" s="2" customFormat="1" ht="18" customHeight="1" x14ac:dyDescent="0.25">
      <c r="A58" s="35">
        <v>423322</v>
      </c>
      <c r="B58" s="120"/>
      <c r="C58" s="27" t="s">
        <v>97</v>
      </c>
      <c r="D58" s="27" t="s">
        <v>192</v>
      </c>
      <c r="E58" s="41">
        <v>120000</v>
      </c>
      <c r="F58" s="167"/>
    </row>
    <row r="59" spans="1:6" s="2" customFormat="1" ht="18" customHeight="1" x14ac:dyDescent="0.25">
      <c r="A59" s="35">
        <v>422221</v>
      </c>
      <c r="B59" s="120"/>
      <c r="C59" s="27" t="s">
        <v>236</v>
      </c>
      <c r="D59" s="27" t="s">
        <v>237</v>
      </c>
      <c r="E59" s="42">
        <f>SUM(30000*2)</f>
        <v>60000</v>
      </c>
      <c r="F59" s="162"/>
    </row>
    <row r="60" spans="1:6" s="2" customFormat="1" x14ac:dyDescent="0.25">
      <c r="A60" s="35">
        <v>423711</v>
      </c>
      <c r="B60" s="120"/>
      <c r="C60" s="27" t="s">
        <v>62</v>
      </c>
      <c r="D60" s="27" t="s">
        <v>159</v>
      </c>
      <c r="E60" s="42">
        <f>1000*120</f>
        <v>120000</v>
      </c>
      <c r="F60" s="167"/>
    </row>
    <row r="61" spans="1:6" s="2" customFormat="1" x14ac:dyDescent="0.25">
      <c r="A61" s="35">
        <v>422211</v>
      </c>
      <c r="B61" s="120"/>
      <c r="C61" s="43" t="s">
        <v>102</v>
      </c>
      <c r="D61" s="43" t="s">
        <v>228</v>
      </c>
      <c r="E61" s="41">
        <f>SUM(15*3*3*120)</f>
        <v>16200</v>
      </c>
      <c r="F61" s="162"/>
    </row>
    <row r="62" spans="1:6" s="2" customFormat="1" x14ac:dyDescent="0.25">
      <c r="A62" s="35"/>
      <c r="B62" s="119"/>
      <c r="C62" s="47" t="s">
        <v>0</v>
      </c>
      <c r="D62" s="43"/>
      <c r="E62" s="42"/>
      <c r="F62" s="50">
        <v>787506.66</v>
      </c>
    </row>
    <row r="63" spans="1:6" s="2" customFormat="1" x14ac:dyDescent="0.25">
      <c r="A63" s="35"/>
      <c r="B63" s="97"/>
      <c r="C63" s="18"/>
      <c r="D63" s="19"/>
      <c r="E63" s="25"/>
      <c r="F63" s="21"/>
    </row>
    <row r="64" spans="1:6" s="2" customFormat="1" ht="15" customHeight="1" x14ac:dyDescent="0.25">
      <c r="A64" s="86"/>
      <c r="B64" s="8" t="s">
        <v>130</v>
      </c>
      <c r="C64" s="39" t="s">
        <v>24</v>
      </c>
      <c r="D64" s="12"/>
      <c r="E64" s="28"/>
      <c r="F64" s="28"/>
    </row>
    <row r="65" spans="1:6" ht="32.450000000000003" customHeight="1" x14ac:dyDescent="0.25">
      <c r="A65" s="35"/>
      <c r="B65" s="97"/>
      <c r="C65" s="211" t="s">
        <v>238</v>
      </c>
      <c r="D65" s="211"/>
      <c r="E65" s="211"/>
      <c r="F65" s="211"/>
    </row>
    <row r="66" spans="1:6" s="2" customFormat="1" x14ac:dyDescent="0.25">
      <c r="A66" s="35"/>
      <c r="B66" s="59"/>
      <c r="C66" s="33" t="s">
        <v>239</v>
      </c>
      <c r="D66" s="50">
        <f>SUM(E67:E67)</f>
        <v>360000</v>
      </c>
      <c r="E66" s="59"/>
      <c r="F66" s="59"/>
    </row>
    <row r="67" spans="1:6" s="2" customFormat="1" x14ac:dyDescent="0.25">
      <c r="A67" s="35">
        <v>423711</v>
      </c>
      <c r="B67" s="59"/>
      <c r="C67" s="74" t="s">
        <v>156</v>
      </c>
      <c r="D67" s="74" t="s">
        <v>241</v>
      </c>
      <c r="E67" s="53">
        <v>360000</v>
      </c>
      <c r="F67" s="49"/>
    </row>
    <row r="68" spans="1:6" s="2" customFormat="1" x14ac:dyDescent="0.25">
      <c r="A68" s="35"/>
      <c r="B68" s="119"/>
      <c r="C68" s="55" t="s">
        <v>242</v>
      </c>
      <c r="D68" s="57">
        <f>SUM(E69:E74)</f>
        <v>2798400</v>
      </c>
      <c r="E68" s="53"/>
      <c r="F68" s="59"/>
    </row>
    <row r="69" spans="1:6" s="2" customFormat="1" x14ac:dyDescent="0.25">
      <c r="A69" s="35">
        <v>421619</v>
      </c>
      <c r="B69" s="59"/>
      <c r="C69" s="74" t="s">
        <v>243</v>
      </c>
      <c r="D69" s="74" t="s">
        <v>201</v>
      </c>
      <c r="E69" s="53">
        <f>10000*120</f>
        <v>1200000</v>
      </c>
      <c r="F69" s="59"/>
    </row>
    <row r="70" spans="1:6" s="2" customFormat="1" x14ac:dyDescent="0.25">
      <c r="A70" s="35">
        <v>422221</v>
      </c>
      <c r="B70" s="120"/>
      <c r="C70" s="27" t="s">
        <v>117</v>
      </c>
      <c r="D70" s="56" t="s">
        <v>244</v>
      </c>
      <c r="E70" s="41">
        <f>SUM(70000*6)</f>
        <v>420000</v>
      </c>
      <c r="F70" s="51"/>
    </row>
    <row r="71" spans="1:6" s="2" customFormat="1" x14ac:dyDescent="0.25">
      <c r="A71" s="35">
        <v>422231</v>
      </c>
      <c r="B71" s="120"/>
      <c r="C71" s="27" t="s">
        <v>189</v>
      </c>
      <c r="D71" s="27" t="s">
        <v>215</v>
      </c>
      <c r="E71" s="41">
        <f>SUM(8000*120)</f>
        <v>960000</v>
      </c>
      <c r="F71" s="51"/>
    </row>
    <row r="72" spans="1:6" ht="16.899999999999999" customHeight="1" x14ac:dyDescent="0.25">
      <c r="A72" s="6">
        <v>423422</v>
      </c>
      <c r="B72" s="120"/>
      <c r="C72" s="35" t="s">
        <v>157</v>
      </c>
      <c r="D72" s="35" t="s">
        <v>190</v>
      </c>
      <c r="E72" s="53">
        <f>700*120</f>
        <v>84000</v>
      </c>
      <c r="F72" s="42"/>
    </row>
    <row r="73" spans="1:6" x14ac:dyDescent="0.25">
      <c r="A73" s="6">
        <v>423422</v>
      </c>
      <c r="B73" s="120"/>
      <c r="C73" s="35" t="s">
        <v>158</v>
      </c>
      <c r="D73" s="35" t="s">
        <v>191</v>
      </c>
      <c r="E73" s="53">
        <f>400*120</f>
        <v>48000</v>
      </c>
      <c r="F73" s="42"/>
    </row>
    <row r="74" spans="1:6" ht="16.899999999999999" customHeight="1" x14ac:dyDescent="0.25">
      <c r="A74" s="6">
        <v>422211</v>
      </c>
      <c r="B74" s="59"/>
      <c r="C74" s="74" t="s">
        <v>6</v>
      </c>
      <c r="D74" s="74" t="s">
        <v>245</v>
      </c>
      <c r="E74" s="53">
        <f>SUM(15*6*8*120)</f>
        <v>86400</v>
      </c>
      <c r="F74" s="59"/>
    </row>
    <row r="75" spans="1:6" ht="16.5" customHeight="1" x14ac:dyDescent="0.25">
      <c r="A75" s="219" t="s">
        <v>0</v>
      </c>
      <c r="B75" s="220"/>
      <c r="C75" s="220"/>
      <c r="D75" s="14"/>
      <c r="E75" s="28"/>
      <c r="F75" s="17">
        <v>2899216.41</v>
      </c>
    </row>
    <row r="76" spans="1:6" s="2" customFormat="1" ht="16.899999999999999" customHeight="1" x14ac:dyDescent="0.25">
      <c r="A76" s="35"/>
      <c r="B76" s="97"/>
      <c r="C76" s="18"/>
      <c r="D76" s="19"/>
      <c r="E76" s="25"/>
      <c r="F76" s="21"/>
    </row>
    <row r="77" spans="1:6" s="2" customFormat="1" ht="16.899999999999999" customHeight="1" x14ac:dyDescent="0.25">
      <c r="A77" s="35"/>
      <c r="B77" s="8" t="s">
        <v>132</v>
      </c>
      <c r="C77" s="39" t="s">
        <v>23</v>
      </c>
      <c r="D77" s="12"/>
      <c r="E77" s="28"/>
      <c r="F77" s="28"/>
    </row>
    <row r="78" spans="1:6" s="2" customFormat="1" ht="39" customHeight="1" x14ac:dyDescent="0.25">
      <c r="A78" s="35"/>
      <c r="B78" s="97"/>
      <c r="C78" s="199" t="s">
        <v>246</v>
      </c>
      <c r="D78" s="199"/>
      <c r="E78" s="199"/>
      <c r="F78" s="212"/>
    </row>
    <row r="79" spans="1:6" s="2" customFormat="1" ht="16.899999999999999" customHeight="1" x14ac:dyDescent="0.25">
      <c r="A79" s="35">
        <v>421619</v>
      </c>
      <c r="B79" s="119"/>
      <c r="C79" s="27" t="s">
        <v>112</v>
      </c>
      <c r="D79" s="27" t="s">
        <v>247</v>
      </c>
      <c r="E79" s="41">
        <f>15000*120</f>
        <v>1800000</v>
      </c>
      <c r="F79" s="42"/>
    </row>
    <row r="80" spans="1:6" s="2" customFormat="1" ht="16.899999999999999" customHeight="1" x14ac:dyDescent="0.25">
      <c r="A80" s="35">
        <v>423422</v>
      </c>
      <c r="B80" s="120"/>
      <c r="C80" s="27" t="s">
        <v>2</v>
      </c>
      <c r="D80" s="27" t="s">
        <v>248</v>
      </c>
      <c r="E80" s="41">
        <f>500*120</f>
        <v>60000</v>
      </c>
      <c r="F80" s="42"/>
    </row>
    <row r="81" spans="1:6" s="2" customFormat="1" ht="16.899999999999999" customHeight="1" x14ac:dyDescent="0.25">
      <c r="A81" s="35">
        <v>423911</v>
      </c>
      <c r="B81" s="120"/>
      <c r="C81" s="43" t="s">
        <v>19</v>
      </c>
      <c r="D81" s="80" t="s">
        <v>249</v>
      </c>
      <c r="E81" s="42">
        <v>60000</v>
      </c>
      <c r="F81" s="42"/>
    </row>
    <row r="82" spans="1:6" ht="16.899999999999999" customHeight="1" x14ac:dyDescent="0.25">
      <c r="A82" s="35">
        <v>423599</v>
      </c>
      <c r="B82" s="120"/>
      <c r="C82" s="74" t="s">
        <v>178</v>
      </c>
      <c r="D82" s="56" t="s">
        <v>250</v>
      </c>
      <c r="E82" s="41">
        <v>300000</v>
      </c>
      <c r="F82" s="42"/>
    </row>
    <row r="83" spans="1:6" s="2" customFormat="1" ht="16.899999999999999" customHeight="1" x14ac:dyDescent="0.25">
      <c r="A83" s="35">
        <v>422211</v>
      </c>
      <c r="B83" s="120"/>
      <c r="C83" s="27" t="s">
        <v>3</v>
      </c>
      <c r="D83" s="27" t="s">
        <v>251</v>
      </c>
      <c r="E83" s="41">
        <f>SUM(15*8*8*120)</f>
        <v>115200</v>
      </c>
      <c r="F83" s="51"/>
    </row>
    <row r="84" spans="1:6" s="2" customFormat="1" ht="16.899999999999999" customHeight="1" x14ac:dyDescent="0.25">
      <c r="A84" s="35">
        <v>422231</v>
      </c>
      <c r="B84" s="120"/>
      <c r="C84" s="27" t="s">
        <v>4</v>
      </c>
      <c r="D84" s="27" t="s">
        <v>247</v>
      </c>
      <c r="E84" s="41">
        <f>SUM(15000*120)</f>
        <v>1800000</v>
      </c>
      <c r="F84" s="51"/>
    </row>
    <row r="85" spans="1:6" s="2" customFormat="1" ht="16.899999999999999" customHeight="1" x14ac:dyDescent="0.25">
      <c r="A85" s="35">
        <v>422221</v>
      </c>
      <c r="B85" s="120"/>
      <c r="C85" s="27" t="s">
        <v>252</v>
      </c>
      <c r="D85" s="27" t="s">
        <v>253</v>
      </c>
      <c r="E85" s="41">
        <f>SUM(80000*8)</f>
        <v>640000</v>
      </c>
      <c r="F85" s="51"/>
    </row>
    <row r="86" spans="1:6" s="2" customFormat="1" ht="16.899999999999999" customHeight="1" x14ac:dyDescent="0.25">
      <c r="A86" s="35">
        <v>421522</v>
      </c>
      <c r="B86" s="120"/>
      <c r="C86" s="27" t="s">
        <v>5</v>
      </c>
      <c r="D86" s="27" t="s">
        <v>254</v>
      </c>
      <c r="E86" s="41">
        <f>17000*6</f>
        <v>102000</v>
      </c>
      <c r="F86" s="42"/>
    </row>
    <row r="87" spans="1:6" s="2" customFormat="1" ht="16.899999999999999" customHeight="1" x14ac:dyDescent="0.25">
      <c r="A87" s="35">
        <v>423711</v>
      </c>
      <c r="B87" s="120"/>
      <c r="C87" s="27" t="s">
        <v>113</v>
      </c>
      <c r="D87" s="27" t="s">
        <v>255</v>
      </c>
      <c r="E87" s="41">
        <f>120000+240000</f>
        <v>360000</v>
      </c>
      <c r="F87" s="42"/>
    </row>
    <row r="88" spans="1:6" ht="16.899999999999999" customHeight="1" x14ac:dyDescent="0.25">
      <c r="A88" s="35">
        <v>426621</v>
      </c>
      <c r="B88" s="120"/>
      <c r="C88" s="27" t="s">
        <v>16</v>
      </c>
      <c r="D88" s="27" t="s">
        <v>250</v>
      </c>
      <c r="E88" s="41">
        <v>100000</v>
      </c>
      <c r="F88" s="42"/>
    </row>
    <row r="89" spans="1:6" x14ac:dyDescent="0.25">
      <c r="A89" s="35">
        <v>424221</v>
      </c>
      <c r="B89" s="120"/>
      <c r="C89" s="74" t="s">
        <v>240</v>
      </c>
      <c r="D89" s="58" t="s">
        <v>256</v>
      </c>
      <c r="E89" s="41">
        <v>2000000</v>
      </c>
      <c r="F89" s="75"/>
    </row>
    <row r="90" spans="1:6" x14ac:dyDescent="0.25">
      <c r="A90" s="219" t="s">
        <v>0</v>
      </c>
      <c r="B90" s="220"/>
      <c r="C90" s="220"/>
      <c r="E90" s="28"/>
      <c r="F90" s="17">
        <v>4179271.4</v>
      </c>
    </row>
    <row r="91" spans="1:6" ht="18.75" customHeight="1" x14ac:dyDescent="0.25">
      <c r="A91" s="108"/>
      <c r="B91" s="97"/>
      <c r="C91" s="18"/>
      <c r="D91" s="19"/>
      <c r="E91" s="25"/>
      <c r="F91" s="21"/>
    </row>
    <row r="92" spans="1:6" s="2" customFormat="1" ht="20.25" customHeight="1" x14ac:dyDescent="0.25">
      <c r="A92" s="109"/>
      <c r="B92" s="8" t="s">
        <v>131</v>
      </c>
      <c r="C92" s="39" t="s">
        <v>257</v>
      </c>
      <c r="D92" s="12"/>
      <c r="E92" s="28"/>
      <c r="F92" s="28"/>
    </row>
    <row r="93" spans="1:6" s="2" customFormat="1" ht="82.9" customHeight="1" x14ac:dyDescent="0.25">
      <c r="A93" s="109"/>
      <c r="B93" s="59"/>
      <c r="C93" s="188" t="s">
        <v>258</v>
      </c>
      <c r="D93" s="188"/>
      <c r="E93" s="188"/>
      <c r="F93" s="126"/>
    </row>
    <row r="94" spans="1:6" s="2" customFormat="1" x14ac:dyDescent="0.25">
      <c r="A94" s="35">
        <v>424221</v>
      </c>
      <c r="B94" s="120"/>
      <c r="C94" s="61" t="s">
        <v>181</v>
      </c>
      <c r="D94" s="60" t="s">
        <v>259</v>
      </c>
      <c r="E94" s="42">
        <f>7000*120</f>
        <v>840000</v>
      </c>
      <c r="F94" s="42"/>
    </row>
    <row r="95" spans="1:6" s="2" customFormat="1" x14ac:dyDescent="0.25">
      <c r="A95" s="35"/>
      <c r="B95" s="8"/>
      <c r="C95" s="24" t="s">
        <v>0</v>
      </c>
      <c r="D95" s="12"/>
      <c r="E95" s="28"/>
      <c r="F95" s="17">
        <f>SUM(E94)</f>
        <v>840000</v>
      </c>
    </row>
    <row r="96" spans="1:6" s="2" customFormat="1" x14ac:dyDescent="0.25">
      <c r="A96" s="35"/>
      <c r="B96" s="97"/>
      <c r="C96" s="18"/>
      <c r="D96" s="19"/>
      <c r="E96" s="25"/>
      <c r="F96" s="21"/>
    </row>
    <row r="97" spans="1:6" s="2" customFormat="1" x14ac:dyDescent="0.25">
      <c r="A97" s="35"/>
      <c r="B97" s="8">
        <v>2.7</v>
      </c>
      <c r="C97" s="55" t="s">
        <v>200</v>
      </c>
      <c r="D97" s="12"/>
      <c r="E97" s="28"/>
      <c r="F97" s="28"/>
    </row>
    <row r="98" spans="1:6" s="2" customFormat="1" ht="66.599999999999994" customHeight="1" x14ac:dyDescent="0.25">
      <c r="A98" s="35"/>
      <c r="B98" s="96"/>
      <c r="C98" s="188" t="s">
        <v>260</v>
      </c>
      <c r="D98" s="188"/>
      <c r="E98" s="188"/>
      <c r="F98" s="188"/>
    </row>
    <row r="99" spans="1:6" s="2" customFormat="1" x14ac:dyDescent="0.25">
      <c r="A99" s="35">
        <v>424221</v>
      </c>
      <c r="B99" s="120"/>
      <c r="C99" s="27" t="s">
        <v>261</v>
      </c>
      <c r="D99" s="81" t="s">
        <v>386</v>
      </c>
      <c r="E99" s="41">
        <v>1500000</v>
      </c>
      <c r="F99" s="42"/>
    </row>
    <row r="100" spans="1:6" s="2" customFormat="1" x14ac:dyDescent="0.25">
      <c r="A100" s="35"/>
      <c r="B100" s="119"/>
      <c r="C100" s="24" t="s">
        <v>0</v>
      </c>
      <c r="D100" s="12"/>
      <c r="E100" s="28"/>
      <c r="F100" s="17">
        <f>SUM(E99:E99)</f>
        <v>1500000</v>
      </c>
    </row>
    <row r="101" spans="1:6" s="2" customFormat="1" x14ac:dyDescent="0.25">
      <c r="A101" s="35"/>
      <c r="B101" s="97"/>
      <c r="C101" s="18"/>
      <c r="D101" s="19"/>
      <c r="E101" s="25"/>
      <c r="F101" s="21"/>
    </row>
    <row r="102" spans="1:6" s="2" customFormat="1" x14ac:dyDescent="0.25">
      <c r="A102" s="35"/>
      <c r="B102" s="119">
        <v>2.8</v>
      </c>
      <c r="C102" s="39" t="s">
        <v>262</v>
      </c>
      <c r="D102" s="39"/>
      <c r="E102" s="39"/>
      <c r="F102" s="42"/>
    </row>
    <row r="103" spans="1:6" x14ac:dyDescent="0.25">
      <c r="A103" s="6">
        <v>422221</v>
      </c>
      <c r="B103" s="120"/>
      <c r="C103" s="27" t="s">
        <v>202</v>
      </c>
      <c r="D103" s="27" t="s">
        <v>203</v>
      </c>
      <c r="E103" s="42">
        <f>40000*3</f>
        <v>120000</v>
      </c>
      <c r="F103" s="162"/>
    </row>
    <row r="104" spans="1:6" x14ac:dyDescent="0.25">
      <c r="A104" s="6">
        <v>422211</v>
      </c>
      <c r="B104" s="120"/>
      <c r="C104" s="27" t="s">
        <v>15</v>
      </c>
      <c r="D104" s="27" t="s">
        <v>263</v>
      </c>
      <c r="E104" s="42">
        <f>SUM(15*4*3*120)</f>
        <v>21600</v>
      </c>
      <c r="F104" s="162"/>
    </row>
    <row r="105" spans="1:6" x14ac:dyDescent="0.25">
      <c r="B105" s="119"/>
      <c r="C105" s="24" t="s">
        <v>0</v>
      </c>
      <c r="E105" s="28"/>
      <c r="F105" s="17">
        <f>SUM(E103:E104)</f>
        <v>141600</v>
      </c>
    </row>
    <row r="106" spans="1:6" ht="15.75" customHeight="1" x14ac:dyDescent="0.25">
      <c r="B106" s="97"/>
      <c r="C106" s="18"/>
      <c r="D106" s="19"/>
      <c r="E106" s="25"/>
      <c r="F106" s="21"/>
    </row>
    <row r="107" spans="1:6" ht="19.899999999999999" customHeight="1" x14ac:dyDescent="0.25">
      <c r="A107" s="35"/>
      <c r="B107" s="8">
        <v>2.9</v>
      </c>
      <c r="C107" s="218" t="s">
        <v>25</v>
      </c>
      <c r="D107" s="218"/>
      <c r="E107" s="28"/>
      <c r="F107" s="28"/>
    </row>
    <row r="108" spans="1:6" s="90" customFormat="1" ht="47.45" customHeight="1" x14ac:dyDescent="0.25">
      <c r="A108" s="35"/>
      <c r="B108" s="97"/>
      <c r="C108" s="211" t="s">
        <v>264</v>
      </c>
      <c r="D108" s="211"/>
      <c r="E108" s="211"/>
      <c r="F108" s="211"/>
    </row>
    <row r="109" spans="1:6" s="2" customFormat="1" x14ac:dyDescent="0.25">
      <c r="A109" s="35">
        <v>422221</v>
      </c>
      <c r="B109" s="120"/>
      <c r="C109" s="27" t="s">
        <v>8</v>
      </c>
      <c r="D109" s="27" t="s">
        <v>219</v>
      </c>
      <c r="E109" s="41">
        <f>30000*3</f>
        <v>90000</v>
      </c>
      <c r="F109" s="162"/>
    </row>
    <row r="110" spans="1:6" s="90" customFormat="1" ht="19.899999999999999" customHeight="1" x14ac:dyDescent="0.25">
      <c r="A110" s="35">
        <v>422231</v>
      </c>
      <c r="B110" s="120"/>
      <c r="C110" s="27" t="s">
        <v>14</v>
      </c>
      <c r="D110" s="27" t="s">
        <v>220</v>
      </c>
      <c r="E110" s="41">
        <f>90*3*3*120</f>
        <v>97200</v>
      </c>
      <c r="F110" s="162"/>
    </row>
    <row r="111" spans="1:6" s="91" customFormat="1" ht="19.899999999999999" customHeight="1" x14ac:dyDescent="0.25">
      <c r="A111" s="35">
        <v>422211</v>
      </c>
      <c r="B111" s="120"/>
      <c r="C111" s="27" t="s">
        <v>6</v>
      </c>
      <c r="D111" s="27" t="s">
        <v>265</v>
      </c>
      <c r="E111" s="41">
        <f>15*4*5*120</f>
        <v>36000</v>
      </c>
      <c r="F111" s="162"/>
    </row>
    <row r="112" spans="1:6" s="2" customFormat="1" ht="19.899999999999999" customHeight="1" x14ac:dyDescent="0.25">
      <c r="A112" s="35">
        <v>423711</v>
      </c>
      <c r="B112" s="120"/>
      <c r="C112" s="27" t="s">
        <v>62</v>
      </c>
      <c r="D112" s="27" t="s">
        <v>192</v>
      </c>
      <c r="E112" s="41">
        <f>SUM(1000*120)</f>
        <v>120000</v>
      </c>
      <c r="F112" s="167"/>
    </row>
    <row r="113" spans="1:6" s="2" customFormat="1" ht="19.899999999999999" customHeight="1" x14ac:dyDescent="0.25">
      <c r="A113" s="35">
        <v>424221</v>
      </c>
      <c r="B113" s="121"/>
      <c r="C113" s="141" t="s">
        <v>240</v>
      </c>
      <c r="D113" s="15" t="s">
        <v>266</v>
      </c>
      <c r="E113" s="13">
        <v>1000000</v>
      </c>
      <c r="F113" s="28"/>
    </row>
    <row r="114" spans="1:6" s="2" customFormat="1" x14ac:dyDescent="0.25">
      <c r="A114" s="35">
        <v>424221</v>
      </c>
      <c r="B114" s="120"/>
      <c r="C114" s="27" t="s">
        <v>89</v>
      </c>
      <c r="D114" s="58" t="s">
        <v>201</v>
      </c>
      <c r="E114" s="41">
        <f>10000*120</f>
        <v>1200000</v>
      </c>
      <c r="F114" s="42"/>
    </row>
    <row r="115" spans="1:6" s="2" customFormat="1" ht="18" customHeight="1" x14ac:dyDescent="0.25">
      <c r="A115" s="35"/>
      <c r="B115" s="119"/>
      <c r="C115" s="47" t="s">
        <v>0</v>
      </c>
      <c r="D115" s="43"/>
      <c r="E115" s="42"/>
      <c r="F115" s="50">
        <v>2043200</v>
      </c>
    </row>
    <row r="116" spans="1:6" s="2" customFormat="1" ht="18" customHeight="1" x14ac:dyDescent="0.25">
      <c r="A116" s="35"/>
      <c r="B116" s="97"/>
      <c r="C116" s="18"/>
      <c r="D116" s="19"/>
      <c r="E116" s="25"/>
      <c r="F116" s="21"/>
    </row>
    <row r="117" spans="1:6" s="2" customFormat="1" ht="18" customHeight="1" x14ac:dyDescent="0.25">
      <c r="A117" s="35"/>
      <c r="B117" s="8" t="s">
        <v>133</v>
      </c>
      <c r="C117" s="39" t="s">
        <v>105</v>
      </c>
      <c r="D117" s="12"/>
      <c r="E117" s="28"/>
      <c r="F117" s="28"/>
    </row>
    <row r="118" spans="1:6" ht="41.45" customHeight="1" x14ac:dyDescent="0.25">
      <c r="B118" s="97"/>
      <c r="C118" s="203" t="s">
        <v>267</v>
      </c>
      <c r="D118" s="203"/>
      <c r="E118" s="203"/>
      <c r="F118" s="203"/>
    </row>
    <row r="119" spans="1:6" x14ac:dyDescent="0.25">
      <c r="A119" s="6">
        <v>423422</v>
      </c>
      <c r="B119" s="120"/>
      <c r="C119" s="27" t="s">
        <v>118</v>
      </c>
      <c r="D119" s="27" t="s">
        <v>268</v>
      </c>
      <c r="E119" s="41">
        <f>500*5*120</f>
        <v>300000</v>
      </c>
      <c r="F119" s="167"/>
    </row>
    <row r="120" spans="1:6" x14ac:dyDescent="0.25">
      <c r="A120" s="6">
        <v>422221</v>
      </c>
      <c r="B120" s="120"/>
      <c r="C120" s="27" t="s">
        <v>269</v>
      </c>
      <c r="D120" s="27" t="s">
        <v>270</v>
      </c>
      <c r="E120" s="41">
        <f>45000*5</f>
        <v>225000</v>
      </c>
      <c r="F120" s="162"/>
    </row>
    <row r="121" spans="1:6" ht="16.5" customHeight="1" x14ac:dyDescent="0.25">
      <c r="A121" s="6">
        <v>422231</v>
      </c>
      <c r="B121" s="120"/>
      <c r="C121" s="27" t="s">
        <v>108</v>
      </c>
      <c r="D121" s="27" t="s">
        <v>271</v>
      </c>
      <c r="E121" s="41">
        <f>250*5*3*120</f>
        <v>450000</v>
      </c>
      <c r="F121" s="162"/>
    </row>
    <row r="122" spans="1:6" s="2" customFormat="1" x14ac:dyDescent="0.25">
      <c r="A122" s="35">
        <v>424221</v>
      </c>
      <c r="B122" s="120"/>
      <c r="C122" s="141" t="s">
        <v>240</v>
      </c>
      <c r="D122" s="27" t="s">
        <v>208</v>
      </c>
      <c r="E122" s="41">
        <v>250000</v>
      </c>
      <c r="F122" s="51"/>
    </row>
    <row r="123" spans="1:6" s="2" customFormat="1" x14ac:dyDescent="0.25">
      <c r="A123" s="35">
        <v>422211</v>
      </c>
      <c r="B123" s="120"/>
      <c r="C123" s="27" t="s">
        <v>6</v>
      </c>
      <c r="D123" s="27" t="s">
        <v>272</v>
      </c>
      <c r="E123" s="41">
        <f>15*2*4*120</f>
        <v>14400</v>
      </c>
      <c r="F123" s="162"/>
    </row>
    <row r="124" spans="1:6" s="2" customFormat="1" x14ac:dyDescent="0.25">
      <c r="A124" s="35"/>
      <c r="B124" s="8"/>
      <c r="C124" s="24" t="s">
        <v>0</v>
      </c>
      <c r="D124" s="12"/>
      <c r="E124" s="28"/>
      <c r="F124" s="17">
        <f>SUM(E119:E123)</f>
        <v>1239400</v>
      </c>
    </row>
    <row r="125" spans="1:6" s="2" customFormat="1" x14ac:dyDescent="0.25">
      <c r="A125" s="35"/>
      <c r="B125" s="97"/>
      <c r="C125" s="18"/>
      <c r="D125" s="19"/>
      <c r="E125" s="25"/>
      <c r="F125" s="21"/>
    </row>
    <row r="126" spans="1:6" s="2" customFormat="1" x14ac:dyDescent="0.25">
      <c r="A126" s="35"/>
      <c r="B126" s="8">
        <v>2.11</v>
      </c>
      <c r="C126" s="110" t="s">
        <v>273</v>
      </c>
      <c r="D126" s="12"/>
      <c r="E126" s="28"/>
      <c r="F126" s="17"/>
    </row>
    <row r="127" spans="1:6" s="2" customFormat="1" ht="97.15" customHeight="1" x14ac:dyDescent="0.25">
      <c r="A127" s="35"/>
      <c r="B127" s="59"/>
      <c r="C127" s="222" t="s">
        <v>274</v>
      </c>
      <c r="D127" s="222"/>
      <c r="E127" s="222"/>
      <c r="F127" s="223"/>
    </row>
    <row r="128" spans="1:6" s="2" customFormat="1" x14ac:dyDescent="0.25">
      <c r="A128" s="35">
        <v>422221</v>
      </c>
      <c r="B128" s="8"/>
      <c r="C128" s="111" t="s">
        <v>12</v>
      </c>
      <c r="D128" s="12" t="s">
        <v>275</v>
      </c>
      <c r="E128" s="28">
        <f>10*500*120</f>
        <v>600000</v>
      </c>
      <c r="F128" s="165"/>
    </row>
    <row r="129" spans="1:6" x14ac:dyDescent="0.25">
      <c r="A129" s="6">
        <v>422231</v>
      </c>
      <c r="C129" s="111" t="s">
        <v>276</v>
      </c>
      <c r="D129" s="12" t="s">
        <v>277</v>
      </c>
      <c r="E129" s="28">
        <f>10*3*130*120</f>
        <v>468000</v>
      </c>
      <c r="F129" s="165"/>
    </row>
    <row r="130" spans="1:6" ht="18" customHeight="1" x14ac:dyDescent="0.25">
      <c r="A130" s="6">
        <v>422392</v>
      </c>
      <c r="C130" s="111" t="s">
        <v>278</v>
      </c>
      <c r="D130" s="12" t="s">
        <v>279</v>
      </c>
      <c r="E130" s="28">
        <f>400*120</f>
        <v>48000</v>
      </c>
      <c r="F130" s="165"/>
    </row>
    <row r="131" spans="1:6" s="90" customFormat="1" ht="19.149999999999999" customHeight="1" x14ac:dyDescent="0.25">
      <c r="A131" s="35">
        <v>423711</v>
      </c>
      <c r="B131" s="8"/>
      <c r="C131" s="111" t="s">
        <v>280</v>
      </c>
      <c r="D131" s="12" t="s">
        <v>281</v>
      </c>
      <c r="E131" s="28">
        <f>10*4*2*30*120</f>
        <v>288000</v>
      </c>
      <c r="F131" s="169"/>
    </row>
    <row r="132" spans="1:6" s="2" customFormat="1" x14ac:dyDescent="0.25">
      <c r="A132" s="35">
        <v>423711</v>
      </c>
      <c r="B132" s="8"/>
      <c r="C132" s="111" t="s">
        <v>282</v>
      </c>
      <c r="D132" s="12" t="s">
        <v>283</v>
      </c>
      <c r="E132" s="28">
        <v>120000</v>
      </c>
      <c r="F132" s="169"/>
    </row>
    <row r="133" spans="1:6" s="90" customFormat="1" ht="18" customHeight="1" x14ac:dyDescent="0.25">
      <c r="A133" s="35">
        <v>423599</v>
      </c>
      <c r="B133" s="8"/>
      <c r="C133" s="111" t="s">
        <v>284</v>
      </c>
      <c r="D133" s="12" t="s">
        <v>285</v>
      </c>
      <c r="E133" s="28">
        <v>240000</v>
      </c>
      <c r="F133" s="169"/>
    </row>
    <row r="134" spans="1:6" s="90" customFormat="1" ht="18.399999999999999" customHeight="1" x14ac:dyDescent="0.25">
      <c r="A134" s="35">
        <v>423599</v>
      </c>
      <c r="B134" s="8"/>
      <c r="C134" s="111" t="s">
        <v>286</v>
      </c>
      <c r="D134" s="12" t="s">
        <v>283</v>
      </c>
      <c r="E134" s="28">
        <v>120000</v>
      </c>
      <c r="F134" s="169"/>
    </row>
    <row r="135" spans="1:6" s="90" customFormat="1" ht="16.149999999999999" customHeight="1" x14ac:dyDescent="0.25">
      <c r="A135" s="35">
        <v>423711</v>
      </c>
      <c r="B135" s="8"/>
      <c r="C135" s="59" t="s">
        <v>62</v>
      </c>
      <c r="D135" s="12" t="s">
        <v>287</v>
      </c>
      <c r="E135" s="28">
        <v>60000</v>
      </c>
      <c r="F135" s="169"/>
    </row>
    <row r="136" spans="1:6" s="90" customFormat="1" x14ac:dyDescent="0.25">
      <c r="A136" s="35"/>
      <c r="B136" s="8"/>
      <c r="C136" s="112" t="s">
        <v>0</v>
      </c>
      <c r="D136" s="12"/>
      <c r="E136" s="28"/>
      <c r="F136" s="17">
        <f>SUM(E128:E135)</f>
        <v>1944000</v>
      </c>
    </row>
    <row r="137" spans="1:6" s="2" customFormat="1" x14ac:dyDescent="0.25">
      <c r="A137" s="35"/>
      <c r="B137" s="97"/>
      <c r="C137" s="18"/>
      <c r="D137" s="19"/>
      <c r="E137" s="25"/>
      <c r="F137" s="21"/>
    </row>
    <row r="138" spans="1:6" s="2" customFormat="1" x14ac:dyDescent="0.25">
      <c r="A138" s="35"/>
      <c r="B138" s="8">
        <v>2.12</v>
      </c>
      <c r="C138" s="39" t="s">
        <v>96</v>
      </c>
      <c r="D138" s="39"/>
      <c r="E138" s="28"/>
      <c r="F138" s="29"/>
    </row>
    <row r="139" spans="1:6" ht="82.15" customHeight="1" x14ac:dyDescent="0.25">
      <c r="B139" s="97"/>
      <c r="C139" s="211" t="s">
        <v>289</v>
      </c>
      <c r="D139" s="211"/>
      <c r="E139" s="211"/>
      <c r="F139" s="224"/>
    </row>
    <row r="140" spans="1:6" s="2" customFormat="1" ht="21" customHeight="1" x14ac:dyDescent="0.25">
      <c r="A140" s="35">
        <v>424221</v>
      </c>
      <c r="B140" s="120"/>
      <c r="C140" s="59" t="s">
        <v>160</v>
      </c>
      <c r="D140" s="27" t="s">
        <v>290</v>
      </c>
      <c r="E140" s="42">
        <f>SUM(40000*120)</f>
        <v>4800000</v>
      </c>
      <c r="F140" s="42"/>
    </row>
    <row r="141" spans="1:6" ht="19.5" customHeight="1" x14ac:dyDescent="0.25">
      <c r="A141" s="6">
        <v>422221</v>
      </c>
      <c r="B141" s="120"/>
      <c r="C141" s="59" t="s">
        <v>229</v>
      </c>
      <c r="D141" s="15" t="s">
        <v>291</v>
      </c>
      <c r="E141" s="28">
        <v>80000</v>
      </c>
      <c r="F141" s="162"/>
    </row>
    <row r="142" spans="1:6" s="2" customFormat="1" x14ac:dyDescent="0.25">
      <c r="A142" s="35"/>
      <c r="B142" s="8"/>
      <c r="C142" s="24" t="s">
        <v>0</v>
      </c>
      <c r="D142" s="12"/>
      <c r="E142" s="28"/>
      <c r="F142" s="17">
        <f>SUM(E140:E141)</f>
        <v>4880000</v>
      </c>
    </row>
    <row r="143" spans="1:6" s="2" customFormat="1" x14ac:dyDescent="0.25">
      <c r="A143" s="35"/>
      <c r="B143" s="97"/>
      <c r="C143" s="18"/>
      <c r="D143" s="19"/>
      <c r="E143" s="25"/>
      <c r="F143" s="21"/>
    </row>
    <row r="144" spans="1:6" x14ac:dyDescent="0.25">
      <c r="B144" s="8">
        <v>2.13</v>
      </c>
      <c r="C144" s="218" t="s">
        <v>120</v>
      </c>
      <c r="D144" s="218"/>
      <c r="E144" s="28"/>
      <c r="F144" s="28"/>
    </row>
    <row r="145" spans="1:6" ht="34.9" customHeight="1" x14ac:dyDescent="0.25">
      <c r="B145" s="97"/>
      <c r="C145" s="199" t="s">
        <v>7</v>
      </c>
      <c r="D145" s="199"/>
      <c r="E145" s="199"/>
      <c r="F145" s="212"/>
    </row>
    <row r="146" spans="1:6" ht="18" customHeight="1" x14ac:dyDescent="0.25">
      <c r="A146" s="6">
        <v>424221</v>
      </c>
      <c r="B146" s="120"/>
      <c r="C146" s="74" t="s">
        <v>11</v>
      </c>
      <c r="D146" s="28" t="s">
        <v>241</v>
      </c>
      <c r="E146" s="28">
        <f>3000*120</f>
        <v>360000</v>
      </c>
      <c r="F146" s="114"/>
    </row>
    <row r="147" spans="1:6" s="2" customFormat="1" x14ac:dyDescent="0.25">
      <c r="A147" s="35">
        <v>424221</v>
      </c>
      <c r="B147" s="120"/>
      <c r="C147" s="74" t="s">
        <v>193</v>
      </c>
      <c r="D147" s="28" t="s">
        <v>295</v>
      </c>
      <c r="E147" s="28">
        <f>SUM(800*120)</f>
        <v>96000</v>
      </c>
      <c r="F147" s="114"/>
    </row>
    <row r="148" spans="1:6" s="2" customFormat="1" x14ac:dyDescent="0.25">
      <c r="A148" s="35">
        <v>422221</v>
      </c>
      <c r="B148" s="120"/>
      <c r="C148" s="27" t="s">
        <v>292</v>
      </c>
      <c r="D148" s="27" t="s">
        <v>293</v>
      </c>
      <c r="E148" s="41">
        <v>50000</v>
      </c>
      <c r="F148" s="164"/>
    </row>
    <row r="149" spans="1:6" x14ac:dyDescent="0.25">
      <c r="A149" s="6">
        <v>422231</v>
      </c>
      <c r="B149" s="120"/>
      <c r="C149" s="27" t="s">
        <v>294</v>
      </c>
      <c r="D149" s="28" t="s">
        <v>296</v>
      </c>
      <c r="E149" s="28">
        <f>SUM(125*2*120)</f>
        <v>30000</v>
      </c>
      <c r="F149" s="164"/>
    </row>
    <row r="150" spans="1:6" x14ac:dyDescent="0.25">
      <c r="A150" s="6">
        <v>422211</v>
      </c>
      <c r="B150" s="120"/>
      <c r="C150" s="27" t="s">
        <v>115</v>
      </c>
      <c r="D150" s="28" t="s">
        <v>297</v>
      </c>
      <c r="E150" s="28">
        <f>SUM(15*2*120)</f>
        <v>3600</v>
      </c>
      <c r="F150" s="164"/>
    </row>
    <row r="151" spans="1:6" x14ac:dyDescent="0.25">
      <c r="C151" s="24" t="s">
        <v>0</v>
      </c>
      <c r="E151" s="28"/>
      <c r="F151" s="17">
        <f>SUM(E146:E150)</f>
        <v>539600</v>
      </c>
    </row>
    <row r="152" spans="1:6" ht="17.25" customHeight="1" x14ac:dyDescent="0.25">
      <c r="B152" s="97"/>
      <c r="C152" s="18"/>
      <c r="D152" s="19"/>
      <c r="E152" s="25"/>
      <c r="F152" s="21"/>
    </row>
    <row r="153" spans="1:6" s="2" customFormat="1" x14ac:dyDescent="0.25">
      <c r="A153" s="35"/>
      <c r="B153" s="8">
        <v>2.14</v>
      </c>
      <c r="C153" s="31" t="s">
        <v>176</v>
      </c>
      <c r="D153" s="32"/>
      <c r="E153" s="13"/>
      <c r="F153" s="17"/>
    </row>
    <row r="154" spans="1:6" s="2" customFormat="1" x14ac:dyDescent="0.25">
      <c r="A154" s="35"/>
      <c r="B154" s="97"/>
      <c r="C154" s="211" t="s">
        <v>194</v>
      </c>
      <c r="D154" s="211"/>
      <c r="E154" s="211"/>
      <c r="F154" s="211"/>
    </row>
    <row r="155" spans="1:6" s="2" customFormat="1" x14ac:dyDescent="0.25">
      <c r="A155" s="35">
        <v>424221</v>
      </c>
      <c r="B155" s="120"/>
      <c r="C155" s="74" t="s">
        <v>9</v>
      </c>
      <c r="D155" s="60" t="s">
        <v>248</v>
      </c>
      <c r="E155" s="41">
        <v>60000</v>
      </c>
      <c r="F155" s="114"/>
    </row>
    <row r="156" spans="1:6" s="2" customFormat="1" x14ac:dyDescent="0.25">
      <c r="A156" s="35"/>
      <c r="B156" s="8"/>
      <c r="C156" s="30" t="s">
        <v>0</v>
      </c>
      <c r="D156" s="24"/>
      <c r="E156" s="28"/>
      <c r="F156" s="29">
        <f>E155</f>
        <v>60000</v>
      </c>
    </row>
    <row r="157" spans="1:6" s="2" customFormat="1" x14ac:dyDescent="0.25">
      <c r="A157" s="35"/>
      <c r="B157" s="97"/>
      <c r="C157" s="18"/>
      <c r="D157" s="19"/>
      <c r="E157" s="25"/>
      <c r="F157" s="21"/>
    </row>
    <row r="158" spans="1:6" x14ac:dyDescent="0.25">
      <c r="B158" s="8">
        <v>2.15</v>
      </c>
      <c r="C158" s="31" t="s">
        <v>107</v>
      </c>
      <c r="D158" s="32"/>
      <c r="E158" s="13"/>
      <c r="F158" s="17"/>
    </row>
    <row r="159" spans="1:6" x14ac:dyDescent="0.25">
      <c r="B159" s="97"/>
      <c r="C159" s="211" t="s">
        <v>10</v>
      </c>
      <c r="D159" s="211"/>
      <c r="E159" s="211"/>
      <c r="F159" s="221"/>
    </row>
    <row r="160" spans="1:6" x14ac:dyDescent="0.25">
      <c r="A160" s="6">
        <v>424221</v>
      </c>
      <c r="B160" s="120"/>
      <c r="C160" s="74" t="s">
        <v>9</v>
      </c>
      <c r="D160" s="60" t="s">
        <v>288</v>
      </c>
      <c r="E160" s="41">
        <f>5000*120</f>
        <v>600000</v>
      </c>
      <c r="F160" s="114"/>
    </row>
    <row r="161" spans="1:6" ht="16.5" customHeight="1" x14ac:dyDescent="0.25">
      <c r="C161" s="30" t="s">
        <v>0</v>
      </c>
      <c r="D161" s="24"/>
      <c r="E161" s="28"/>
      <c r="F161" s="29">
        <f>E160</f>
        <v>600000</v>
      </c>
    </row>
    <row r="162" spans="1:6" s="2" customFormat="1" ht="17.649999999999999" customHeight="1" x14ac:dyDescent="0.25">
      <c r="A162" s="35"/>
      <c r="B162" s="97"/>
      <c r="C162" s="18"/>
      <c r="D162" s="19"/>
      <c r="E162" s="25"/>
      <c r="F162" s="21"/>
    </row>
    <row r="163" spans="1:6" s="2" customFormat="1" ht="18.399999999999999" customHeight="1" x14ac:dyDescent="0.25">
      <c r="A163" s="35"/>
      <c r="B163" s="8">
        <v>2.16</v>
      </c>
      <c r="C163" s="31" t="s">
        <v>161</v>
      </c>
      <c r="D163" s="32"/>
      <c r="E163" s="13"/>
      <c r="F163" s="17"/>
    </row>
    <row r="164" spans="1:6" s="2" customFormat="1" x14ac:dyDescent="0.25">
      <c r="A164" s="35"/>
      <c r="B164" s="97"/>
      <c r="C164" s="211" t="s">
        <v>162</v>
      </c>
      <c r="D164" s="211"/>
      <c r="E164" s="211"/>
      <c r="F164" s="221"/>
    </row>
    <row r="165" spans="1:6" x14ac:dyDescent="0.25">
      <c r="A165" s="6">
        <v>424221</v>
      </c>
      <c r="B165" s="120"/>
      <c r="C165" s="74" t="s">
        <v>9</v>
      </c>
      <c r="D165" s="60" t="s">
        <v>288</v>
      </c>
      <c r="E165" s="41">
        <f>5000*120</f>
        <v>600000</v>
      </c>
      <c r="F165" s="114"/>
    </row>
    <row r="166" spans="1:6" x14ac:dyDescent="0.25">
      <c r="A166" s="4"/>
      <c r="C166" s="30" t="s">
        <v>0</v>
      </c>
      <c r="D166" s="24"/>
      <c r="E166" s="28"/>
      <c r="F166" s="29">
        <f>E165</f>
        <v>600000</v>
      </c>
    </row>
    <row r="167" spans="1:6" x14ac:dyDescent="0.25">
      <c r="A167" s="4"/>
      <c r="B167" s="10"/>
      <c r="C167" s="185"/>
      <c r="D167" s="186"/>
      <c r="E167" s="135"/>
      <c r="F167" s="187"/>
    </row>
    <row r="168" spans="1:6" x14ac:dyDescent="0.25">
      <c r="A168" s="4"/>
      <c r="B168" s="8">
        <v>2.17</v>
      </c>
      <c r="C168" s="31" t="s">
        <v>403</v>
      </c>
      <c r="D168" s="24"/>
      <c r="E168" s="28"/>
      <c r="F168" s="29"/>
    </row>
    <row r="169" spans="1:6" ht="41.25" customHeight="1" x14ac:dyDescent="0.25">
      <c r="A169" s="4"/>
      <c r="B169" s="10"/>
      <c r="C169" s="188" t="s">
        <v>404</v>
      </c>
      <c r="D169" s="188"/>
      <c r="E169" s="188"/>
      <c r="F169" s="188"/>
    </row>
    <row r="170" spans="1:6" ht="23.25" customHeight="1" x14ac:dyDescent="0.25">
      <c r="A170" s="4"/>
      <c r="C170" s="141" t="s">
        <v>405</v>
      </c>
      <c r="D170" s="141"/>
      <c r="E170" s="41">
        <v>6000000</v>
      </c>
      <c r="F170" s="141"/>
    </row>
    <row r="171" spans="1:6" ht="21.75" customHeight="1" x14ac:dyDescent="0.25">
      <c r="A171" s="4"/>
      <c r="C171" s="30" t="s">
        <v>0</v>
      </c>
      <c r="D171" s="141"/>
      <c r="E171" s="141"/>
      <c r="F171" s="29">
        <v>6000000</v>
      </c>
    </row>
    <row r="172" spans="1:6" x14ac:dyDescent="0.25">
      <c r="A172" s="4"/>
      <c r="B172" s="97"/>
      <c r="C172" s="18"/>
      <c r="D172" s="19"/>
      <c r="E172" s="25"/>
      <c r="F172" s="21"/>
    </row>
    <row r="173" spans="1:6" s="2" customFormat="1" ht="47.25" customHeight="1" x14ac:dyDescent="0.25">
      <c r="A173" s="35"/>
      <c r="B173" s="102"/>
      <c r="C173" s="115"/>
      <c r="D173" s="22" t="s">
        <v>22</v>
      </c>
      <c r="E173" s="71"/>
      <c r="F173" s="70">
        <f>+F41+F52+F62+F75+F90+F95+F100+F105+F115+F124+F136+F142+F151+F156+F161+F166+F168+F171</f>
        <v>49664840</v>
      </c>
    </row>
    <row r="174" spans="1:6" x14ac:dyDescent="0.25">
      <c r="B174" s="8">
        <v>3</v>
      </c>
      <c r="C174" s="23" t="s">
        <v>119</v>
      </c>
      <c r="E174" s="28"/>
      <c r="F174" s="28"/>
    </row>
    <row r="175" spans="1:6" x14ac:dyDescent="0.25">
      <c r="C175" s="23"/>
      <c r="E175" s="28"/>
      <c r="F175" s="28"/>
    </row>
    <row r="176" spans="1:6" x14ac:dyDescent="0.25">
      <c r="B176" s="8" t="s">
        <v>134</v>
      </c>
      <c r="C176" s="39" t="s">
        <v>106</v>
      </c>
      <c r="E176" s="28"/>
      <c r="F176" s="28"/>
    </row>
    <row r="177" spans="1:6" ht="43.15" customHeight="1" x14ac:dyDescent="0.25">
      <c r="B177" s="118"/>
      <c r="C177" s="210" t="s">
        <v>338</v>
      </c>
      <c r="D177" s="210"/>
      <c r="E177" s="210"/>
      <c r="F177" s="210"/>
    </row>
    <row r="178" spans="1:6" ht="18" customHeight="1" x14ac:dyDescent="0.25">
      <c r="A178" s="6">
        <v>424221</v>
      </c>
      <c r="B178" s="121"/>
      <c r="C178" s="15" t="s">
        <v>214</v>
      </c>
      <c r="E178" s="13">
        <v>1000000</v>
      </c>
      <c r="F178" s="28"/>
    </row>
    <row r="179" spans="1:6" x14ac:dyDescent="0.25">
      <c r="C179" s="30" t="s">
        <v>0</v>
      </c>
      <c r="E179" s="28"/>
      <c r="F179" s="29">
        <f>E178</f>
        <v>1000000</v>
      </c>
    </row>
    <row r="180" spans="1:6" x14ac:dyDescent="0.25">
      <c r="B180" s="118"/>
      <c r="C180" s="18"/>
      <c r="D180" s="19"/>
      <c r="E180" s="25"/>
      <c r="F180" s="21"/>
    </row>
    <row r="181" spans="1:6" s="2" customFormat="1" x14ac:dyDescent="0.25">
      <c r="A181" s="6"/>
      <c r="B181" s="119" t="s">
        <v>135</v>
      </c>
      <c r="C181" s="33" t="s">
        <v>109</v>
      </c>
      <c r="D181" s="34"/>
      <c r="E181" s="73"/>
      <c r="F181" s="73"/>
    </row>
    <row r="182" spans="1:6" s="3" customFormat="1" ht="18" customHeight="1" x14ac:dyDescent="0.25">
      <c r="A182" s="6"/>
      <c r="B182" s="10"/>
      <c r="C182" s="188" t="s">
        <v>339</v>
      </c>
      <c r="D182" s="188"/>
      <c r="E182" s="188"/>
      <c r="F182" s="188"/>
    </row>
    <row r="183" spans="1:6" s="2" customFormat="1" ht="15.75" customHeight="1" x14ac:dyDescent="0.25">
      <c r="A183" s="35">
        <v>424221</v>
      </c>
      <c r="B183" s="120"/>
      <c r="C183" s="208" t="s">
        <v>340</v>
      </c>
      <c r="D183" s="209"/>
      <c r="E183" s="41">
        <v>500000</v>
      </c>
      <c r="F183" s="81"/>
    </row>
    <row r="184" spans="1:6" s="2" customFormat="1" x14ac:dyDescent="0.25">
      <c r="A184" s="35">
        <v>421626</v>
      </c>
      <c r="B184" s="119"/>
      <c r="C184" s="74" t="s">
        <v>110</v>
      </c>
      <c r="D184" s="74"/>
      <c r="E184" s="41">
        <v>500000</v>
      </c>
      <c r="F184" s="59"/>
    </row>
    <row r="185" spans="1:6" s="2" customFormat="1" x14ac:dyDescent="0.25">
      <c r="A185" s="6"/>
      <c r="B185" s="119"/>
      <c r="C185" s="30" t="s">
        <v>0</v>
      </c>
      <c r="D185" s="6"/>
      <c r="E185" s="64"/>
      <c r="F185" s="29">
        <f>SUM(E183:E184)</f>
        <v>1000000</v>
      </c>
    </row>
    <row r="186" spans="1:6" s="2" customFormat="1" x14ac:dyDescent="0.25">
      <c r="A186" s="6"/>
      <c r="B186" s="10"/>
      <c r="C186" s="54"/>
      <c r="D186" s="54"/>
      <c r="E186" s="63"/>
      <c r="F186" s="63"/>
    </row>
    <row r="187" spans="1:6" s="2" customFormat="1" x14ac:dyDescent="0.25">
      <c r="A187" s="6"/>
      <c r="B187" s="119" t="s">
        <v>136</v>
      </c>
      <c r="C187" s="33" t="s">
        <v>224</v>
      </c>
      <c r="D187" s="34"/>
      <c r="E187" s="73"/>
      <c r="F187" s="73"/>
    </row>
    <row r="188" spans="1:6" s="2" customFormat="1" ht="39.4" customHeight="1" x14ac:dyDescent="0.25">
      <c r="A188" s="6"/>
      <c r="B188" s="118"/>
      <c r="C188" s="188" t="s">
        <v>341</v>
      </c>
      <c r="D188" s="188"/>
      <c r="E188" s="188"/>
      <c r="F188" s="188"/>
    </row>
    <row r="189" spans="1:6" s="2" customFormat="1" x14ac:dyDescent="0.25">
      <c r="A189" s="35">
        <v>424221</v>
      </c>
      <c r="B189" s="120"/>
      <c r="C189" s="74" t="s">
        <v>111</v>
      </c>
      <c r="D189" s="74"/>
      <c r="E189" s="41">
        <v>1000000</v>
      </c>
      <c r="F189" s="82"/>
    </row>
    <row r="190" spans="1:6" s="2" customFormat="1" x14ac:dyDescent="0.25">
      <c r="A190" s="6"/>
      <c r="B190" s="119"/>
      <c r="C190" s="30" t="s">
        <v>0</v>
      </c>
      <c r="D190" s="6"/>
      <c r="E190" s="64"/>
      <c r="F190" s="29">
        <f>SUM(E189:E189)</f>
        <v>1000000</v>
      </c>
    </row>
    <row r="191" spans="1:6" s="2" customFormat="1" x14ac:dyDescent="0.25">
      <c r="A191" s="6"/>
      <c r="B191" s="118"/>
      <c r="C191" s="207"/>
      <c r="D191" s="207"/>
      <c r="E191" s="207"/>
      <c r="F191" s="207"/>
    </row>
    <row r="192" spans="1:6" s="2" customFormat="1" x14ac:dyDescent="0.25">
      <c r="A192" s="35"/>
      <c r="B192" s="119" t="s">
        <v>137</v>
      </c>
      <c r="C192" s="31" t="s">
        <v>124</v>
      </c>
      <c r="D192" s="6"/>
      <c r="E192" s="64"/>
      <c r="F192" s="29"/>
    </row>
    <row r="193" spans="1:6" s="2" customFormat="1" ht="35.65" customHeight="1" x14ac:dyDescent="0.25">
      <c r="A193" s="35"/>
      <c r="B193" s="118"/>
      <c r="C193" s="188" t="s">
        <v>342</v>
      </c>
      <c r="D193" s="188"/>
      <c r="E193" s="188"/>
      <c r="F193" s="188"/>
    </row>
    <row r="194" spans="1:6" s="2" customFormat="1" ht="18.600000000000001" customHeight="1" x14ac:dyDescent="0.25">
      <c r="A194" s="35">
        <v>424221</v>
      </c>
      <c r="B194" s="120"/>
      <c r="C194" s="74" t="s">
        <v>163</v>
      </c>
      <c r="D194" s="35"/>
      <c r="E194" s="53">
        <v>300000</v>
      </c>
      <c r="F194" s="42"/>
    </row>
    <row r="195" spans="1:6" s="2" customFormat="1" x14ac:dyDescent="0.25">
      <c r="A195" s="35">
        <v>424221</v>
      </c>
      <c r="B195" s="120"/>
      <c r="C195" s="74" t="s">
        <v>164</v>
      </c>
      <c r="D195" s="35"/>
      <c r="E195" s="53">
        <v>200000</v>
      </c>
      <c r="F195" s="42"/>
    </row>
    <row r="196" spans="1:6" s="2" customFormat="1" x14ac:dyDescent="0.25">
      <c r="A196" s="35">
        <v>424221</v>
      </c>
      <c r="B196" s="120"/>
      <c r="C196" s="74" t="s">
        <v>343</v>
      </c>
      <c r="D196" s="35"/>
      <c r="E196" s="53">
        <f>200000+300000</f>
        <v>500000</v>
      </c>
      <c r="F196" s="42"/>
    </row>
    <row r="197" spans="1:6" s="2" customFormat="1" x14ac:dyDescent="0.25">
      <c r="A197" s="35"/>
      <c r="B197" s="119"/>
      <c r="C197" s="30" t="s">
        <v>0</v>
      </c>
      <c r="D197" s="6"/>
      <c r="E197" s="64"/>
      <c r="F197" s="29">
        <v>0</v>
      </c>
    </row>
    <row r="198" spans="1:6" s="2" customFormat="1" x14ac:dyDescent="0.25">
      <c r="A198" s="35"/>
      <c r="B198" s="118"/>
      <c r="C198" s="207"/>
      <c r="D198" s="207"/>
      <c r="E198" s="207"/>
      <c r="F198" s="207"/>
    </row>
    <row r="199" spans="1:6" x14ac:dyDescent="0.25">
      <c r="A199" s="35"/>
      <c r="B199" s="8" t="s">
        <v>138</v>
      </c>
      <c r="C199" s="39" t="s">
        <v>168</v>
      </c>
      <c r="D199" s="39"/>
      <c r="E199" s="28"/>
      <c r="F199" s="29"/>
    </row>
    <row r="200" spans="1:6" ht="37.15" customHeight="1" x14ac:dyDescent="0.25">
      <c r="A200" s="35"/>
      <c r="B200" s="118"/>
      <c r="C200" s="189" t="s">
        <v>344</v>
      </c>
      <c r="D200" s="189"/>
      <c r="E200" s="189"/>
      <c r="F200" s="190"/>
    </row>
    <row r="201" spans="1:6" s="2" customFormat="1" x14ac:dyDescent="0.25">
      <c r="A201" s="35">
        <v>424221</v>
      </c>
      <c r="B201" s="120"/>
      <c r="C201" s="111" t="s">
        <v>94</v>
      </c>
      <c r="D201" s="15" t="s">
        <v>167</v>
      </c>
      <c r="E201" s="28">
        <v>120000</v>
      </c>
      <c r="F201" s="28"/>
    </row>
    <row r="202" spans="1:6" s="2" customFormat="1" x14ac:dyDescent="0.25">
      <c r="A202" s="35"/>
      <c r="B202" s="119"/>
      <c r="C202" s="116" t="s">
        <v>0</v>
      </c>
      <c r="D202" s="127"/>
      <c r="E202" s="28"/>
      <c r="F202" s="128">
        <f>SUM(E201:E201)</f>
        <v>120000</v>
      </c>
    </row>
    <row r="203" spans="1:6" s="2" customFormat="1" x14ac:dyDescent="0.25">
      <c r="A203" s="35"/>
      <c r="B203" s="207"/>
      <c r="C203" s="207"/>
      <c r="D203" s="207"/>
      <c r="E203" s="207"/>
      <c r="F203" s="54"/>
    </row>
    <row r="204" spans="1:6" x14ac:dyDescent="0.25">
      <c r="A204" s="35"/>
      <c r="B204" s="8" t="s">
        <v>139</v>
      </c>
      <c r="C204" s="39" t="s">
        <v>103</v>
      </c>
      <c r="D204" s="39"/>
      <c r="E204" s="28"/>
      <c r="F204" s="29"/>
    </row>
    <row r="205" spans="1:6" ht="64.900000000000006" customHeight="1" x14ac:dyDescent="0.25">
      <c r="A205" s="35"/>
      <c r="B205" s="118"/>
      <c r="C205" s="189" t="s">
        <v>93</v>
      </c>
      <c r="D205" s="189"/>
      <c r="E205" s="189"/>
      <c r="F205" s="190"/>
    </row>
    <row r="206" spans="1:6" s="2" customFormat="1" x14ac:dyDescent="0.25">
      <c r="A206" s="35">
        <v>424221</v>
      </c>
      <c r="B206" s="120"/>
      <c r="C206" s="111" t="s">
        <v>94</v>
      </c>
      <c r="D206" s="15" t="s">
        <v>401</v>
      </c>
      <c r="E206" s="28">
        <v>160000</v>
      </c>
      <c r="F206" s="28"/>
    </row>
    <row r="207" spans="1:6" s="2" customFormat="1" x14ac:dyDescent="0.25">
      <c r="A207" s="35">
        <v>423599</v>
      </c>
      <c r="B207" s="120"/>
      <c r="C207" s="6" t="s">
        <v>95</v>
      </c>
      <c r="D207" s="127" t="s">
        <v>147</v>
      </c>
      <c r="E207" s="28">
        <v>30000</v>
      </c>
      <c r="F207" s="168"/>
    </row>
    <row r="208" spans="1:6" x14ac:dyDescent="0.25">
      <c r="A208" s="35"/>
      <c r="C208" s="24" t="s">
        <v>0</v>
      </c>
      <c r="E208" s="28"/>
      <c r="F208" s="17">
        <f>SUM(E206:E207)</f>
        <v>190000</v>
      </c>
    </row>
    <row r="209" spans="1:6" s="2" customFormat="1" x14ac:dyDescent="0.25">
      <c r="A209" s="35"/>
      <c r="B209" s="207"/>
      <c r="C209" s="207"/>
      <c r="D209" s="207"/>
      <c r="E209" s="207"/>
      <c r="F209" s="54"/>
    </row>
    <row r="210" spans="1:6" x14ac:dyDescent="0.25">
      <c r="A210" s="35"/>
      <c r="B210" s="8" t="s">
        <v>140</v>
      </c>
      <c r="C210" s="39" t="s">
        <v>104</v>
      </c>
      <c r="D210" s="39"/>
      <c r="E210" s="15"/>
      <c r="F210" s="15"/>
    </row>
    <row r="211" spans="1:6" ht="34.9" customHeight="1" x14ac:dyDescent="0.25">
      <c r="A211" s="35"/>
      <c r="B211" s="118"/>
      <c r="C211" s="189" t="s">
        <v>345</v>
      </c>
      <c r="D211" s="189"/>
      <c r="E211" s="189"/>
      <c r="F211" s="193"/>
    </row>
    <row r="212" spans="1:6" s="2" customFormat="1" x14ac:dyDescent="0.25">
      <c r="A212" s="35">
        <v>424221</v>
      </c>
      <c r="B212" s="120"/>
      <c r="C212" s="15" t="s">
        <v>92</v>
      </c>
      <c r="D212" s="15"/>
      <c r="E212" s="28">
        <v>150000</v>
      </c>
      <c r="F212" s="28"/>
    </row>
    <row r="213" spans="1:6" x14ac:dyDescent="0.25">
      <c r="A213" s="35"/>
      <c r="C213" s="24" t="s">
        <v>0</v>
      </c>
      <c r="E213" s="15"/>
      <c r="F213" s="17">
        <f>SUM(E212:E212)</f>
        <v>150000</v>
      </c>
    </row>
    <row r="214" spans="1:6" x14ac:dyDescent="0.25">
      <c r="B214" s="118"/>
      <c r="C214" s="18"/>
      <c r="D214" s="19"/>
      <c r="E214" s="25"/>
      <c r="F214" s="21"/>
    </row>
    <row r="215" spans="1:6" x14ac:dyDescent="0.25">
      <c r="A215" s="35"/>
      <c r="B215" s="8" t="s">
        <v>141</v>
      </c>
      <c r="C215" s="39" t="s">
        <v>346</v>
      </c>
      <c r="D215" s="39"/>
      <c r="E215" s="15"/>
      <c r="F215" s="15"/>
    </row>
    <row r="216" spans="1:6" ht="47.25" customHeight="1" x14ac:dyDescent="0.25">
      <c r="A216" s="35"/>
      <c r="B216" s="118"/>
      <c r="C216" s="189" t="s">
        <v>347</v>
      </c>
      <c r="D216" s="189"/>
      <c r="E216" s="189"/>
      <c r="F216" s="193"/>
    </row>
    <row r="217" spans="1:6" s="173" customFormat="1" x14ac:dyDescent="0.25">
      <c r="A217" s="44">
        <v>424221</v>
      </c>
      <c r="B217" s="120"/>
      <c r="C217" s="44" t="s">
        <v>348</v>
      </c>
      <c r="D217" s="27"/>
      <c r="E217" s="42">
        <f>12000000-5000000</f>
        <v>7000000</v>
      </c>
      <c r="F217" s="48"/>
    </row>
    <row r="218" spans="1:6" s="78" customFormat="1" x14ac:dyDescent="0.25">
      <c r="A218" s="87"/>
      <c r="B218" s="123"/>
      <c r="C218" s="88" t="s">
        <v>0</v>
      </c>
      <c r="D218" s="89"/>
      <c r="E218" s="89"/>
      <c r="F218" s="17">
        <f>SUM(E217:E217)</f>
        <v>7000000</v>
      </c>
    </row>
    <row r="219" spans="1:6" s="78" customFormat="1" x14ac:dyDescent="0.25">
      <c r="A219" s="87"/>
      <c r="B219" s="118"/>
      <c r="C219" s="18"/>
      <c r="D219" s="19"/>
      <c r="E219" s="25"/>
      <c r="F219" s="21"/>
    </row>
    <row r="220" spans="1:6" s="78" customFormat="1" x14ac:dyDescent="0.25">
      <c r="A220" s="62"/>
      <c r="B220" s="8" t="s">
        <v>142</v>
      </c>
      <c r="C220" s="39" t="s">
        <v>349</v>
      </c>
      <c r="D220" s="39"/>
      <c r="E220" s="28"/>
      <c r="F220" s="29"/>
    </row>
    <row r="221" spans="1:6" s="78" customFormat="1" ht="80.45" customHeight="1" x14ac:dyDescent="0.25">
      <c r="A221" s="62"/>
      <c r="B221" s="118"/>
      <c r="C221" s="197" t="s">
        <v>350</v>
      </c>
      <c r="D221" s="197"/>
      <c r="E221" s="197"/>
      <c r="F221" s="198"/>
    </row>
    <row r="222" spans="1:6" s="92" customFormat="1" x14ac:dyDescent="0.25">
      <c r="A222" s="44">
        <v>424221</v>
      </c>
      <c r="B222" s="120"/>
      <c r="C222" s="59" t="s">
        <v>165</v>
      </c>
      <c r="D222" s="27"/>
      <c r="E222" s="42">
        <v>1000000</v>
      </c>
      <c r="F222" s="41"/>
    </row>
    <row r="223" spans="1:6" s="52" customFormat="1" x14ac:dyDescent="0.25">
      <c r="A223" s="35"/>
      <c r="B223" s="119"/>
      <c r="C223" s="47" t="s">
        <v>0</v>
      </c>
      <c r="D223" s="43"/>
      <c r="E223" s="42"/>
      <c r="F223" s="50">
        <f>+E222</f>
        <v>1000000</v>
      </c>
    </row>
    <row r="224" spans="1:6" x14ac:dyDescent="0.25">
      <c r="B224" s="118"/>
      <c r="C224" s="18"/>
      <c r="D224" s="19"/>
      <c r="E224" s="25"/>
      <c r="F224" s="21"/>
    </row>
    <row r="225" spans="1:6" ht="21" customHeight="1" x14ac:dyDescent="0.25">
      <c r="B225" s="49" t="s">
        <v>169</v>
      </c>
      <c r="C225" s="49" t="s">
        <v>351</v>
      </c>
      <c r="D225" s="55"/>
      <c r="E225" s="42"/>
      <c r="F225" s="48"/>
    </row>
    <row r="226" spans="1:6" ht="24" customHeight="1" x14ac:dyDescent="0.25">
      <c r="B226" s="118"/>
      <c r="C226" s="195" t="s">
        <v>204</v>
      </c>
      <c r="D226" s="196"/>
      <c r="E226" s="196"/>
      <c r="F226" s="196"/>
    </row>
    <row r="227" spans="1:6" s="2" customFormat="1" x14ac:dyDescent="0.25">
      <c r="A227" s="35">
        <v>424221</v>
      </c>
      <c r="B227" s="59"/>
      <c r="C227" s="59" t="s">
        <v>165</v>
      </c>
      <c r="D227" s="27"/>
      <c r="E227" s="42">
        <f>8000000-7000000</f>
        <v>1000000</v>
      </c>
      <c r="F227" s="42"/>
    </row>
    <row r="228" spans="1:6" x14ac:dyDescent="0.25">
      <c r="A228" s="35"/>
      <c r="B228" s="49"/>
      <c r="D228" s="55" t="s">
        <v>166</v>
      </c>
      <c r="E228" s="42"/>
      <c r="F228" s="48">
        <f>SUM(E227:E227)</f>
        <v>1000000</v>
      </c>
    </row>
    <row r="229" spans="1:6" x14ac:dyDescent="0.25">
      <c r="A229" s="35"/>
      <c r="B229" s="118"/>
      <c r="C229" s="18"/>
      <c r="D229" s="19"/>
      <c r="E229" s="25"/>
      <c r="F229" s="21"/>
    </row>
    <row r="230" spans="1:6" s="2" customFormat="1" x14ac:dyDescent="0.25">
      <c r="A230" s="35"/>
      <c r="B230" s="49" t="s">
        <v>175</v>
      </c>
      <c r="C230" s="49" t="s">
        <v>352</v>
      </c>
      <c r="D230" s="55"/>
      <c r="E230" s="53"/>
      <c r="F230" s="48"/>
    </row>
    <row r="231" spans="1:6" ht="51" customHeight="1" x14ac:dyDescent="0.25">
      <c r="A231" s="35"/>
      <c r="B231" s="118"/>
      <c r="C231" s="195" t="s">
        <v>353</v>
      </c>
      <c r="D231" s="202"/>
      <c r="E231" s="202"/>
      <c r="F231" s="202"/>
    </row>
    <row r="232" spans="1:6" s="90" customFormat="1" ht="19.149999999999999" customHeight="1" x14ac:dyDescent="0.25">
      <c r="A232" s="35">
        <v>424221</v>
      </c>
      <c r="B232" s="59"/>
      <c r="C232" s="59" t="s">
        <v>165</v>
      </c>
      <c r="D232" s="27"/>
      <c r="E232" s="42">
        <v>800000</v>
      </c>
      <c r="F232" s="42"/>
    </row>
    <row r="233" spans="1:6" s="2" customFormat="1" x14ac:dyDescent="0.25">
      <c r="A233" s="35"/>
      <c r="B233" s="49"/>
      <c r="C233" s="6"/>
      <c r="D233" s="55" t="s">
        <v>166</v>
      </c>
      <c r="E233" s="42"/>
      <c r="F233" s="48">
        <f>SUM(E232:E232)</f>
        <v>800000</v>
      </c>
    </row>
    <row r="234" spans="1:6" x14ac:dyDescent="0.25">
      <c r="A234" s="35"/>
      <c r="B234" s="118"/>
      <c r="C234" s="18"/>
      <c r="D234" s="19"/>
      <c r="E234" s="20"/>
      <c r="F234" s="21"/>
    </row>
    <row r="235" spans="1:6" x14ac:dyDescent="0.25">
      <c r="A235" s="35"/>
      <c r="B235" s="118" t="s">
        <v>392</v>
      </c>
      <c r="C235" s="118" t="s">
        <v>393</v>
      </c>
      <c r="D235" s="177"/>
      <c r="E235" s="20"/>
      <c r="F235" s="25"/>
    </row>
    <row r="236" spans="1:6" x14ac:dyDescent="0.25">
      <c r="A236" s="35"/>
      <c r="B236"/>
      <c r="C236" s="1" t="s">
        <v>394</v>
      </c>
      <c r="D236"/>
      <c r="E236"/>
      <c r="F236"/>
    </row>
    <row r="237" spans="1:6" x14ac:dyDescent="0.25">
      <c r="A237" s="35"/>
      <c r="B237"/>
      <c r="C237" t="s">
        <v>111</v>
      </c>
      <c r="D237"/>
      <c r="E237" s="182">
        <v>5090160</v>
      </c>
      <c r="F237"/>
    </row>
    <row r="238" spans="1:6" x14ac:dyDescent="0.25">
      <c r="A238" s="35"/>
      <c r="B238"/>
      <c r="C238"/>
      <c r="D238" t="s">
        <v>0</v>
      </c>
      <c r="E238"/>
      <c r="F238" s="183">
        <v>5090160</v>
      </c>
    </row>
    <row r="239" spans="1:6" x14ac:dyDescent="0.25">
      <c r="A239" s="35"/>
      <c r="B239" s="96"/>
      <c r="C239" s="176"/>
      <c r="D239" s="177"/>
      <c r="E239" s="20"/>
      <c r="F239" s="25"/>
    </row>
    <row r="240" spans="1:6" x14ac:dyDescent="0.25">
      <c r="C240" s="26"/>
      <c r="D240" s="36" t="s">
        <v>122</v>
      </c>
      <c r="E240" s="37"/>
      <c r="F240" s="38">
        <f>+F179+F185+F190+F197+F202+F208+F213+F218+F223+F228+F233+F238</f>
        <v>18350160</v>
      </c>
    </row>
    <row r="241" spans="1:6" ht="21" customHeight="1" x14ac:dyDescent="0.25">
      <c r="A241" s="4"/>
      <c r="B241" s="49">
        <v>4</v>
      </c>
      <c r="C241" s="49" t="s">
        <v>206</v>
      </c>
      <c r="D241" s="55"/>
      <c r="E241" s="42"/>
      <c r="F241" s="48"/>
    </row>
    <row r="242" spans="1:6" ht="266.45" customHeight="1" x14ac:dyDescent="0.25">
      <c r="B242" s="118"/>
      <c r="C242" s="195" t="s">
        <v>298</v>
      </c>
      <c r="D242" s="196"/>
      <c r="E242" s="196"/>
      <c r="F242" s="196"/>
    </row>
    <row r="243" spans="1:6" ht="16.899999999999999" customHeight="1" x14ac:dyDescent="0.25">
      <c r="C243" s="77" t="s">
        <v>299</v>
      </c>
      <c r="D243" s="77"/>
      <c r="E243" s="12"/>
      <c r="F243" s="6"/>
    </row>
    <row r="244" spans="1:6" ht="16.899999999999999" customHeight="1" x14ac:dyDescent="0.25">
      <c r="B244" s="118"/>
      <c r="C244" s="188"/>
      <c r="D244" s="188"/>
      <c r="E244" s="188"/>
      <c r="F244" s="201"/>
    </row>
    <row r="245" spans="1:6" s="2" customFormat="1" ht="16.899999999999999" customHeight="1" x14ac:dyDescent="0.25">
      <c r="A245" s="35">
        <v>423111</v>
      </c>
      <c r="B245" s="120"/>
      <c r="C245" s="113" t="s">
        <v>300</v>
      </c>
      <c r="D245" s="113" t="s">
        <v>301</v>
      </c>
      <c r="E245" s="124">
        <v>60000</v>
      </c>
      <c r="F245" s="170"/>
    </row>
    <row r="246" spans="1:6" s="2" customFormat="1" ht="16.899999999999999" customHeight="1" x14ac:dyDescent="0.25">
      <c r="A246" s="35">
        <v>423599</v>
      </c>
      <c r="B246" s="120"/>
      <c r="C246" s="113" t="s">
        <v>302</v>
      </c>
      <c r="D246" s="113" t="s">
        <v>303</v>
      </c>
      <c r="E246" s="124">
        <f>80000</f>
        <v>80000</v>
      </c>
      <c r="F246" s="170"/>
    </row>
    <row r="247" spans="1:6" s="2" customFormat="1" ht="16.899999999999999" customHeight="1" x14ac:dyDescent="0.25">
      <c r="A247" s="35">
        <v>423191</v>
      </c>
      <c r="B247" s="120"/>
      <c r="C247" s="113" t="s">
        <v>304</v>
      </c>
      <c r="D247" s="113" t="s">
        <v>305</v>
      </c>
      <c r="E247" s="124">
        <f>40000*12</f>
        <v>480000</v>
      </c>
      <c r="F247" s="170"/>
    </row>
    <row r="248" spans="1:6" s="2" customFormat="1" ht="16.899999999999999" customHeight="1" x14ac:dyDescent="0.25">
      <c r="A248" s="35">
        <v>423599</v>
      </c>
      <c r="B248" s="120"/>
      <c r="C248" s="113" t="s">
        <v>306</v>
      </c>
      <c r="D248" s="113" t="s">
        <v>307</v>
      </c>
      <c r="E248" s="124">
        <f>30000*6</f>
        <v>180000</v>
      </c>
      <c r="F248" s="170"/>
    </row>
    <row r="249" spans="1:6" ht="16.899999999999999" customHeight="1" x14ac:dyDescent="0.25">
      <c r="A249" s="35"/>
      <c r="B249" s="119"/>
      <c r="C249" s="95" t="s">
        <v>0</v>
      </c>
      <c r="D249" s="35"/>
      <c r="E249" s="35"/>
      <c r="F249" s="50">
        <f>SUM(E245:E248)</f>
        <v>800000</v>
      </c>
    </row>
    <row r="250" spans="1:6" ht="16.899999999999999" customHeight="1" x14ac:dyDescent="0.25">
      <c r="C250" s="77" t="s">
        <v>182</v>
      </c>
      <c r="D250" s="77"/>
      <c r="E250" s="12"/>
      <c r="F250" s="6"/>
    </row>
    <row r="251" spans="1:6" ht="16.899999999999999" customHeight="1" x14ac:dyDescent="0.25">
      <c r="B251" s="118"/>
      <c r="C251" s="188" t="s">
        <v>308</v>
      </c>
      <c r="D251" s="188"/>
      <c r="E251" s="188"/>
      <c r="F251" s="201"/>
    </row>
    <row r="252" spans="1:6" s="2" customFormat="1" ht="16.899999999999999" customHeight="1" x14ac:dyDescent="0.25">
      <c r="A252" s="35">
        <v>422211</v>
      </c>
      <c r="B252" s="120"/>
      <c r="C252" s="78" t="s">
        <v>309</v>
      </c>
      <c r="D252" s="113" t="s">
        <v>310</v>
      </c>
      <c r="E252" s="124">
        <f>2500*3*2*3</f>
        <v>45000</v>
      </c>
      <c r="F252" s="166"/>
    </row>
    <row r="253" spans="1:6" s="2" customFormat="1" ht="16.899999999999999" customHeight="1" x14ac:dyDescent="0.25">
      <c r="A253" s="35">
        <v>422231</v>
      </c>
      <c r="B253" s="120"/>
      <c r="C253" s="113" t="s">
        <v>311</v>
      </c>
      <c r="D253" s="113" t="s">
        <v>312</v>
      </c>
      <c r="E253" s="124">
        <f>12000*2*2*3</f>
        <v>144000</v>
      </c>
      <c r="F253" s="166"/>
    </row>
    <row r="254" spans="1:6" s="2" customFormat="1" ht="16.899999999999999" customHeight="1" x14ac:dyDescent="0.25">
      <c r="A254" s="35">
        <v>423911</v>
      </c>
      <c r="B254" s="120"/>
      <c r="C254" s="113" t="s">
        <v>183</v>
      </c>
      <c r="D254" s="113" t="s">
        <v>313</v>
      </c>
      <c r="E254" s="124">
        <f>70000*3</f>
        <v>210000</v>
      </c>
      <c r="F254" s="170"/>
    </row>
    <row r="255" spans="1:6" ht="16.899999999999999" customHeight="1" x14ac:dyDescent="0.25">
      <c r="A255" s="35"/>
      <c r="B255" s="119"/>
      <c r="C255" s="95" t="s">
        <v>0</v>
      </c>
      <c r="D255" s="35"/>
      <c r="E255" s="35"/>
      <c r="F255" s="50">
        <f>SUM(E252:E254)</f>
        <v>399000</v>
      </c>
    </row>
    <row r="256" spans="1:6" ht="16.899999999999999" customHeight="1" x14ac:dyDescent="0.25">
      <c r="B256" s="118"/>
      <c r="C256" s="18"/>
      <c r="D256" s="19"/>
      <c r="E256" s="20"/>
      <c r="F256" s="21"/>
    </row>
    <row r="257" spans="1:6" ht="16.899999999999999" customHeight="1" x14ac:dyDescent="0.25">
      <c r="C257" s="77" t="s">
        <v>184</v>
      </c>
      <c r="E257" s="79"/>
      <c r="F257" s="84"/>
    </row>
    <row r="258" spans="1:6" ht="39" customHeight="1" x14ac:dyDescent="0.25">
      <c r="B258" s="118"/>
      <c r="C258" s="188" t="s">
        <v>314</v>
      </c>
      <c r="D258" s="188"/>
      <c r="E258" s="188"/>
      <c r="F258" s="188"/>
    </row>
    <row r="259" spans="1:6" s="2" customFormat="1" ht="28.5" customHeight="1" x14ac:dyDescent="0.25">
      <c r="A259" s="35">
        <v>422121</v>
      </c>
      <c r="B259" s="120"/>
      <c r="C259" s="113" t="s">
        <v>315</v>
      </c>
      <c r="D259" s="113" t="s">
        <v>316</v>
      </c>
      <c r="E259" s="125">
        <f>2*45000+80000*2</f>
        <v>250000</v>
      </c>
      <c r="F259" s="163"/>
    </row>
    <row r="260" spans="1:6" s="2" customFormat="1" ht="16.899999999999999" customHeight="1" x14ac:dyDescent="0.25">
      <c r="A260" s="35">
        <v>422131</v>
      </c>
      <c r="B260" s="120"/>
      <c r="C260" s="113" t="s">
        <v>317</v>
      </c>
      <c r="D260" s="113" t="s">
        <v>318</v>
      </c>
      <c r="E260" s="125">
        <f>10000*3*3</f>
        <v>90000</v>
      </c>
      <c r="F260" s="163"/>
    </row>
    <row r="261" spans="1:6" s="2" customFormat="1" ht="16.899999999999999" customHeight="1" x14ac:dyDescent="0.25">
      <c r="A261" s="35">
        <v>423599</v>
      </c>
      <c r="B261" s="120"/>
      <c r="C261" s="113" t="s">
        <v>319</v>
      </c>
      <c r="D261" s="113" t="s">
        <v>320</v>
      </c>
      <c r="E261" s="125">
        <f>80000*3</f>
        <v>240000</v>
      </c>
      <c r="F261" s="167"/>
    </row>
    <row r="262" spans="1:6" s="2" customFormat="1" ht="16.899999999999999" customHeight="1" x14ac:dyDescent="0.25">
      <c r="A262" s="35">
        <v>423711</v>
      </c>
      <c r="B262" s="120"/>
      <c r="C262" s="113" t="s">
        <v>321</v>
      </c>
      <c r="D262" s="113" t="s">
        <v>322</v>
      </c>
      <c r="E262" s="125">
        <v>120000</v>
      </c>
      <c r="F262" s="167"/>
    </row>
    <row r="263" spans="1:6" ht="16.899999999999999" customHeight="1" x14ac:dyDescent="0.25">
      <c r="C263" s="16" t="s">
        <v>0</v>
      </c>
      <c r="E263" s="79"/>
      <c r="F263" s="17">
        <f>SUM(E259:E262)</f>
        <v>700000</v>
      </c>
    </row>
    <row r="264" spans="1:6" ht="16.899999999999999" customHeight="1" x14ac:dyDescent="0.25">
      <c r="B264" s="118"/>
      <c r="C264" s="18"/>
      <c r="D264" s="19"/>
      <c r="E264" s="20"/>
      <c r="F264" s="21"/>
    </row>
    <row r="265" spans="1:6" ht="16.899999999999999" customHeight="1" x14ac:dyDescent="0.25">
      <c r="C265" s="77" t="s">
        <v>188</v>
      </c>
      <c r="E265" s="79"/>
      <c r="F265" s="84"/>
    </row>
    <row r="266" spans="1:6" ht="16.899999999999999" customHeight="1" x14ac:dyDescent="0.25">
      <c r="B266" s="118"/>
      <c r="C266" s="188" t="s">
        <v>185</v>
      </c>
      <c r="D266" s="188"/>
      <c r="E266" s="188"/>
      <c r="F266" s="188"/>
    </row>
    <row r="267" spans="1:6" s="2" customFormat="1" ht="16.899999999999999" customHeight="1" x14ac:dyDescent="0.25">
      <c r="A267" s="35">
        <v>423111</v>
      </c>
      <c r="B267" s="120"/>
      <c r="C267" s="44" t="s">
        <v>20</v>
      </c>
      <c r="D267" s="27" t="s">
        <v>333</v>
      </c>
      <c r="E267" s="41">
        <v>40000</v>
      </c>
      <c r="F267" s="171"/>
    </row>
    <row r="268" spans="1:6" s="2" customFormat="1" ht="16.899999999999999" customHeight="1" x14ac:dyDescent="0.25">
      <c r="A268" s="35">
        <v>423599</v>
      </c>
      <c r="B268" s="120"/>
      <c r="C268" s="44" t="s">
        <v>186</v>
      </c>
      <c r="D268" s="27" t="s">
        <v>334</v>
      </c>
      <c r="E268" s="41">
        <v>30000</v>
      </c>
      <c r="F268" s="171"/>
    </row>
    <row r="269" spans="1:6" s="2" customFormat="1" ht="16.899999999999999" customHeight="1" x14ac:dyDescent="0.25">
      <c r="A269" s="35">
        <v>423599</v>
      </c>
      <c r="B269" s="120"/>
      <c r="C269" s="35" t="s">
        <v>323</v>
      </c>
      <c r="D269" s="27" t="s">
        <v>293</v>
      </c>
      <c r="E269" s="41">
        <v>50000</v>
      </c>
      <c r="F269" s="171"/>
    </row>
    <row r="270" spans="1:6" s="2" customFormat="1" ht="16.899999999999999" customHeight="1" x14ac:dyDescent="0.25">
      <c r="A270" s="35">
        <v>423411</v>
      </c>
      <c r="B270" s="120"/>
      <c r="C270" s="44" t="s">
        <v>324</v>
      </c>
      <c r="D270" s="27" t="s">
        <v>333</v>
      </c>
      <c r="E270" s="41">
        <v>40000</v>
      </c>
      <c r="F270" s="171"/>
    </row>
    <row r="271" spans="1:6" ht="16.899999999999999" customHeight="1" x14ac:dyDescent="0.25">
      <c r="C271" s="16" t="s">
        <v>0</v>
      </c>
      <c r="E271" s="79"/>
      <c r="F271" s="17">
        <f>SUM(E267:E270)</f>
        <v>160000</v>
      </c>
    </row>
    <row r="272" spans="1:6" ht="16.899999999999999" customHeight="1" x14ac:dyDescent="0.25">
      <c r="B272" s="118"/>
      <c r="C272" s="18"/>
      <c r="D272" s="19"/>
      <c r="E272" s="20"/>
      <c r="F272" s="21"/>
    </row>
    <row r="273" spans="1:6" ht="16.899999999999999" customHeight="1" x14ac:dyDescent="0.25">
      <c r="C273" s="206" t="s">
        <v>325</v>
      </c>
      <c r="D273" s="206"/>
      <c r="E273" s="84"/>
      <c r="F273" s="79"/>
    </row>
    <row r="274" spans="1:6" ht="22.9" customHeight="1" x14ac:dyDescent="0.25">
      <c r="B274" s="118"/>
      <c r="C274" s="199" t="s">
        <v>326</v>
      </c>
      <c r="D274" s="199"/>
      <c r="E274" s="199"/>
      <c r="F274" s="200"/>
    </row>
    <row r="275" spans="1:6" s="2" customFormat="1" ht="16.899999999999999" customHeight="1" x14ac:dyDescent="0.25">
      <c r="A275" s="35">
        <v>426621</v>
      </c>
      <c r="B275" s="120"/>
      <c r="C275" s="113" t="s">
        <v>187</v>
      </c>
      <c r="D275" s="113" t="s">
        <v>327</v>
      </c>
      <c r="E275" s="125">
        <v>200000</v>
      </c>
      <c r="F275" s="42"/>
    </row>
    <row r="276" spans="1:6" s="2" customFormat="1" ht="16.899999999999999" customHeight="1" x14ac:dyDescent="0.25">
      <c r="A276" s="35">
        <v>423191</v>
      </c>
      <c r="B276" s="120"/>
      <c r="C276" s="113" t="s">
        <v>328</v>
      </c>
      <c r="D276" s="113" t="s">
        <v>329</v>
      </c>
      <c r="E276" s="125">
        <v>60000</v>
      </c>
      <c r="F276" s="167"/>
    </row>
    <row r="277" spans="1:6" s="2" customFormat="1" ht="16.899999999999999" customHeight="1" x14ac:dyDescent="0.25">
      <c r="A277" s="35">
        <v>423449</v>
      </c>
      <c r="B277" s="120"/>
      <c r="C277" s="113" t="s">
        <v>330</v>
      </c>
      <c r="D277" s="113" t="s">
        <v>331</v>
      </c>
      <c r="E277" s="125">
        <f>60000*3</f>
        <v>180000</v>
      </c>
      <c r="F277" s="167"/>
    </row>
    <row r="278" spans="1:6" s="2" customFormat="1" ht="16.899999999999999" customHeight="1" x14ac:dyDescent="0.25">
      <c r="A278" s="35">
        <v>423449</v>
      </c>
      <c r="B278" s="120"/>
      <c r="C278" s="113" t="s">
        <v>332</v>
      </c>
      <c r="D278" s="113" t="s">
        <v>327</v>
      </c>
      <c r="E278" s="125">
        <v>200000</v>
      </c>
      <c r="F278" s="167"/>
    </row>
    <row r="279" spans="1:6" ht="16.899999999999999" customHeight="1" x14ac:dyDescent="0.25">
      <c r="C279" s="26" t="s">
        <v>0</v>
      </c>
      <c r="D279" s="26"/>
      <c r="E279" s="13"/>
      <c r="F279" s="17">
        <f>SUM(E275:E278)</f>
        <v>640000</v>
      </c>
    </row>
    <row r="280" spans="1:6" ht="16.899999999999999" customHeight="1" x14ac:dyDescent="0.25">
      <c r="B280" s="118"/>
      <c r="C280" s="18"/>
      <c r="D280" s="19"/>
      <c r="E280" s="20"/>
      <c r="F280" s="21"/>
    </row>
    <row r="281" spans="1:6" ht="16.899999999999999" customHeight="1" x14ac:dyDescent="0.25">
      <c r="C281" s="26" t="s">
        <v>205</v>
      </c>
      <c r="D281" s="36"/>
      <c r="E281" s="37"/>
      <c r="F281" s="38">
        <f>F249+F255+F263+F271+F279</f>
        <v>2699000</v>
      </c>
    </row>
    <row r="282" spans="1:6" ht="16.5" customHeight="1" x14ac:dyDescent="0.25">
      <c r="B282" s="49"/>
      <c r="C282" s="47"/>
      <c r="D282" s="55"/>
      <c r="E282" s="53"/>
      <c r="F282" s="48"/>
    </row>
    <row r="283" spans="1:6" s="52" customFormat="1" ht="16.5" customHeight="1" x14ac:dyDescent="0.25">
      <c r="A283" s="6"/>
      <c r="B283" s="119">
        <v>5</v>
      </c>
      <c r="C283" s="194" t="s">
        <v>335</v>
      </c>
      <c r="D283" s="194"/>
      <c r="E283" s="42"/>
      <c r="F283" s="53"/>
    </row>
    <row r="284" spans="1:6" s="52" customFormat="1" x14ac:dyDescent="0.25">
      <c r="A284" s="6"/>
      <c r="B284" s="10"/>
      <c r="C284" s="205"/>
      <c r="D284" s="205"/>
      <c r="E284" s="135"/>
      <c r="F284" s="67"/>
    </row>
    <row r="285" spans="1:6" s="52" customFormat="1" x14ac:dyDescent="0.25">
      <c r="A285" s="6"/>
      <c r="B285" s="8" t="s">
        <v>195</v>
      </c>
      <c r="C285" s="4" t="s">
        <v>372</v>
      </c>
      <c r="D285" s="12"/>
      <c r="E285" s="13"/>
      <c r="F285" s="64"/>
    </row>
    <row r="286" spans="1:6" s="52" customFormat="1" x14ac:dyDescent="0.25">
      <c r="A286" s="6"/>
      <c r="B286" s="8"/>
      <c r="C286" s="6" t="s">
        <v>371</v>
      </c>
      <c r="D286" s="12"/>
      <c r="E286" s="13"/>
      <c r="F286" s="64"/>
    </row>
    <row r="287" spans="1:6" s="2" customFormat="1" x14ac:dyDescent="0.25">
      <c r="A287" s="35">
        <v>423599</v>
      </c>
      <c r="B287" s="120"/>
      <c r="C287" s="35" t="s">
        <v>98</v>
      </c>
      <c r="D287" s="43" t="s">
        <v>226</v>
      </c>
      <c r="E287" s="41">
        <f>700*120</f>
        <v>84000</v>
      </c>
      <c r="F287" s="53"/>
    </row>
    <row r="288" spans="1:6" s="2" customFormat="1" x14ac:dyDescent="0.25">
      <c r="A288" s="35">
        <v>423599</v>
      </c>
      <c r="B288" s="120"/>
      <c r="C288" s="35" t="s">
        <v>99</v>
      </c>
      <c r="D288" s="43" t="s">
        <v>153</v>
      </c>
      <c r="E288" s="41">
        <f>2000*120</f>
        <v>240000</v>
      </c>
      <c r="F288" s="53"/>
    </row>
    <row r="289" spans="1:6" s="2" customFormat="1" x14ac:dyDescent="0.25">
      <c r="A289" s="35">
        <v>423911</v>
      </c>
      <c r="B289" s="120"/>
      <c r="C289" s="35" t="s">
        <v>26</v>
      </c>
      <c r="D289" s="43" t="s">
        <v>227</v>
      </c>
      <c r="E289" s="41">
        <f>300*120</f>
        <v>36000</v>
      </c>
      <c r="F289" s="53"/>
    </row>
    <row r="290" spans="1:6" s="2" customFormat="1" ht="16.5" customHeight="1" x14ac:dyDescent="0.25">
      <c r="A290" s="35">
        <v>423413</v>
      </c>
      <c r="B290" s="120"/>
      <c r="C290" s="35" t="s">
        <v>21</v>
      </c>
      <c r="D290" s="43" t="s">
        <v>149</v>
      </c>
      <c r="E290" s="41">
        <v>120000</v>
      </c>
      <c r="F290" s="53"/>
    </row>
    <row r="291" spans="1:6" s="2" customFormat="1" x14ac:dyDescent="0.25">
      <c r="A291" s="35"/>
      <c r="B291" s="119"/>
      <c r="C291" s="57" t="s">
        <v>0</v>
      </c>
      <c r="D291" s="57"/>
      <c r="E291" s="50"/>
      <c r="F291" s="50">
        <f>SUM(E287:E290)</f>
        <v>480000</v>
      </c>
    </row>
    <row r="292" spans="1:6" s="2" customFormat="1" x14ac:dyDescent="0.25">
      <c r="A292" s="35"/>
      <c r="B292" s="119"/>
      <c r="C292" s="47"/>
      <c r="D292" s="55"/>
      <c r="E292" s="53"/>
      <c r="F292" s="48"/>
    </row>
    <row r="293" spans="1:6" s="2" customFormat="1" x14ac:dyDescent="0.25">
      <c r="A293" s="35"/>
      <c r="B293" s="119" t="s">
        <v>196</v>
      </c>
      <c r="C293" s="136" t="s">
        <v>375</v>
      </c>
      <c r="D293" s="43"/>
      <c r="E293" s="41"/>
      <c r="F293" s="53"/>
    </row>
    <row r="294" spans="1:6" s="2" customFormat="1" x14ac:dyDescent="0.25">
      <c r="A294" s="35"/>
      <c r="B294" s="119"/>
      <c r="C294" s="35" t="s">
        <v>373</v>
      </c>
      <c r="D294" s="43"/>
      <c r="E294" s="41"/>
      <c r="F294" s="53"/>
    </row>
    <row r="295" spans="1:6" s="2" customFormat="1" x14ac:dyDescent="0.25">
      <c r="A295" s="35">
        <v>424221</v>
      </c>
      <c r="B295" s="120"/>
      <c r="C295" s="35" t="s">
        <v>100</v>
      </c>
      <c r="D295" s="27" t="s">
        <v>374</v>
      </c>
      <c r="E295" s="41">
        <f>3200*120</f>
        <v>384000</v>
      </c>
      <c r="F295" s="53"/>
    </row>
    <row r="296" spans="1:6" s="2" customFormat="1" x14ac:dyDescent="0.25">
      <c r="A296" s="35">
        <v>423111</v>
      </c>
      <c r="B296" s="137"/>
      <c r="C296" s="35" t="s">
        <v>20</v>
      </c>
      <c r="D296" s="43" t="s">
        <v>171</v>
      </c>
      <c r="E296" s="41">
        <f>1500*120</f>
        <v>180000</v>
      </c>
      <c r="F296" s="53"/>
    </row>
    <row r="297" spans="1:6" s="2" customFormat="1" x14ac:dyDescent="0.25">
      <c r="A297" s="35">
        <v>423599</v>
      </c>
      <c r="B297" s="120"/>
      <c r="C297" s="35" t="s">
        <v>27</v>
      </c>
      <c r="D297" s="43" t="s">
        <v>212</v>
      </c>
      <c r="E297" s="41">
        <f>800*120</f>
        <v>96000</v>
      </c>
      <c r="F297" s="53"/>
    </row>
    <row r="298" spans="1:6" s="2" customFormat="1" x14ac:dyDescent="0.25">
      <c r="A298" s="35">
        <v>423599</v>
      </c>
      <c r="B298" s="120"/>
      <c r="C298" s="35" t="s">
        <v>99</v>
      </c>
      <c r="D298" s="27" t="s">
        <v>171</v>
      </c>
      <c r="E298" s="41">
        <f>1500*120</f>
        <v>180000</v>
      </c>
      <c r="F298" s="53"/>
    </row>
    <row r="299" spans="1:6" s="2" customFormat="1" x14ac:dyDescent="0.25">
      <c r="A299" s="35">
        <v>423911</v>
      </c>
      <c r="B299" s="120"/>
      <c r="C299" s="35" t="s">
        <v>207</v>
      </c>
      <c r="D299" s="27" t="s">
        <v>376</v>
      </c>
      <c r="E299" s="41">
        <f>400*120</f>
        <v>48000</v>
      </c>
      <c r="F299" s="53"/>
    </row>
    <row r="300" spans="1:6" s="2" customFormat="1" x14ac:dyDescent="0.25">
      <c r="A300" s="35">
        <v>423413</v>
      </c>
      <c r="B300" s="120"/>
      <c r="C300" s="35" t="s">
        <v>21</v>
      </c>
      <c r="D300" s="27" t="s">
        <v>149</v>
      </c>
      <c r="E300" s="41">
        <f>3500*120</f>
        <v>420000</v>
      </c>
      <c r="F300" s="53"/>
    </row>
    <row r="301" spans="1:6" s="2" customFormat="1" x14ac:dyDescent="0.25">
      <c r="A301" s="35"/>
      <c r="B301" s="119"/>
      <c r="C301" s="57" t="s">
        <v>0</v>
      </c>
      <c r="D301" s="57"/>
      <c r="E301" s="50"/>
      <c r="F301" s="50">
        <v>948000</v>
      </c>
    </row>
    <row r="302" spans="1:6" s="2" customFormat="1" x14ac:dyDescent="0.25">
      <c r="A302" s="35"/>
      <c r="B302" s="119"/>
      <c r="C302" s="47"/>
      <c r="D302" s="55"/>
      <c r="E302" s="53"/>
      <c r="F302" s="48"/>
    </row>
    <row r="303" spans="1:6" s="2" customFormat="1" x14ac:dyDescent="0.25">
      <c r="A303" s="35"/>
      <c r="B303" s="119" t="s">
        <v>197</v>
      </c>
      <c r="C303" s="138" t="s">
        <v>377</v>
      </c>
      <c r="D303" s="43"/>
      <c r="E303" s="41"/>
      <c r="F303" s="53"/>
    </row>
    <row r="304" spans="1:6" s="2" customFormat="1" x14ac:dyDescent="0.25">
      <c r="A304" s="35"/>
      <c r="B304" s="119"/>
      <c r="C304" s="43" t="s">
        <v>373</v>
      </c>
      <c r="D304" s="43"/>
      <c r="E304" s="41"/>
      <c r="F304" s="53"/>
    </row>
    <row r="305" spans="1:6" s="2" customFormat="1" x14ac:dyDescent="0.25">
      <c r="A305" s="35">
        <v>424221</v>
      </c>
      <c r="B305" s="120"/>
      <c r="C305" s="35" t="s">
        <v>100</v>
      </c>
      <c r="D305" s="43" t="s">
        <v>153</v>
      </c>
      <c r="E305" s="41">
        <f>2000*120</f>
        <v>240000</v>
      </c>
      <c r="F305" s="53"/>
    </row>
    <row r="306" spans="1:6" s="2" customFormat="1" x14ac:dyDescent="0.25">
      <c r="A306" s="35">
        <v>423599</v>
      </c>
      <c r="B306" s="120"/>
      <c r="C306" s="35" t="s">
        <v>125</v>
      </c>
      <c r="D306" s="27" t="s">
        <v>226</v>
      </c>
      <c r="E306" s="41">
        <f>700*120</f>
        <v>84000</v>
      </c>
      <c r="F306" s="53"/>
    </row>
    <row r="307" spans="1:6" s="2" customFormat="1" x14ac:dyDescent="0.25">
      <c r="A307" s="35">
        <v>423599</v>
      </c>
      <c r="B307" s="120"/>
      <c r="C307" s="35" t="s">
        <v>126</v>
      </c>
      <c r="D307" s="27" t="s">
        <v>153</v>
      </c>
      <c r="E307" s="41">
        <f>2000*120</f>
        <v>240000</v>
      </c>
      <c r="F307" s="53"/>
    </row>
    <row r="308" spans="1:6" s="2" customFormat="1" x14ac:dyDescent="0.25">
      <c r="A308" s="35">
        <v>423599</v>
      </c>
      <c r="B308" s="120"/>
      <c r="C308" s="35" t="s">
        <v>378</v>
      </c>
      <c r="D308" s="27" t="s">
        <v>225</v>
      </c>
      <c r="E308" s="41">
        <f>600*120</f>
        <v>72000</v>
      </c>
      <c r="F308" s="53"/>
    </row>
    <row r="309" spans="1:6" s="2" customFormat="1" x14ac:dyDescent="0.25">
      <c r="A309" s="35">
        <v>423911</v>
      </c>
      <c r="B309" s="120"/>
      <c r="C309" s="35" t="s">
        <v>26</v>
      </c>
      <c r="D309" s="27" t="s">
        <v>376</v>
      </c>
      <c r="E309" s="41">
        <f>400*120</f>
        <v>48000</v>
      </c>
      <c r="F309" s="53"/>
    </row>
    <row r="310" spans="1:6" s="2" customFormat="1" x14ac:dyDescent="0.25">
      <c r="A310" s="35">
        <v>423413</v>
      </c>
      <c r="B310" s="120"/>
      <c r="C310" s="35" t="s">
        <v>21</v>
      </c>
      <c r="D310" s="27" t="s">
        <v>152</v>
      </c>
      <c r="E310" s="41">
        <f>3000*120</f>
        <v>360000</v>
      </c>
      <c r="F310" s="53"/>
    </row>
    <row r="311" spans="1:6" s="2" customFormat="1" x14ac:dyDescent="0.25">
      <c r="A311" s="35"/>
      <c r="B311" s="119"/>
      <c r="C311" s="57" t="s">
        <v>0</v>
      </c>
      <c r="D311" s="57"/>
      <c r="E311" s="50"/>
      <c r="F311" s="50">
        <v>744000</v>
      </c>
    </row>
    <row r="312" spans="1:6" s="2" customFormat="1" x14ac:dyDescent="0.25">
      <c r="A312" s="35"/>
      <c r="B312" s="119"/>
      <c r="C312" s="57"/>
      <c r="D312" s="57"/>
      <c r="E312" s="50"/>
      <c r="F312" s="50"/>
    </row>
    <row r="313" spans="1:6" s="2" customFormat="1" x14ac:dyDescent="0.25">
      <c r="A313" s="35"/>
      <c r="B313" s="119" t="s">
        <v>198</v>
      </c>
      <c r="C313" s="139" t="s">
        <v>379</v>
      </c>
      <c r="D313" s="57"/>
      <c r="E313" s="50"/>
      <c r="F313" s="50"/>
    </row>
    <row r="314" spans="1:6" s="2" customFormat="1" x14ac:dyDescent="0.25">
      <c r="A314" s="35"/>
      <c r="B314" s="119"/>
      <c r="C314" s="43" t="s">
        <v>210</v>
      </c>
      <c r="D314" s="43"/>
      <c r="E314" s="41"/>
      <c r="F314" s="53"/>
    </row>
    <row r="315" spans="1:6" s="2" customFormat="1" x14ac:dyDescent="0.25">
      <c r="A315" s="35">
        <v>423599</v>
      </c>
      <c r="B315" s="120"/>
      <c r="C315" s="35" t="s">
        <v>100</v>
      </c>
      <c r="D315" s="43" t="s">
        <v>152</v>
      </c>
      <c r="E315" s="41">
        <f>3000*120</f>
        <v>360000</v>
      </c>
      <c r="F315" s="53"/>
    </row>
    <row r="316" spans="1:6" s="2" customFormat="1" x14ac:dyDescent="0.25">
      <c r="A316" s="35">
        <v>423599</v>
      </c>
      <c r="B316" s="120"/>
      <c r="C316" s="35" t="s">
        <v>125</v>
      </c>
      <c r="D316" s="27" t="s">
        <v>151</v>
      </c>
      <c r="E316" s="41">
        <f>800*120</f>
        <v>96000</v>
      </c>
      <c r="F316" s="53"/>
    </row>
    <row r="317" spans="1:6" s="2" customFormat="1" x14ac:dyDescent="0.25">
      <c r="A317" s="35">
        <v>423599</v>
      </c>
      <c r="B317" s="120"/>
      <c r="C317" s="35" t="s">
        <v>126</v>
      </c>
      <c r="D317" s="27" t="s">
        <v>152</v>
      </c>
      <c r="E317" s="41">
        <f>3000*120</f>
        <v>360000</v>
      </c>
      <c r="F317" s="53"/>
    </row>
    <row r="318" spans="1:6" s="2" customFormat="1" x14ac:dyDescent="0.25">
      <c r="A318" s="35">
        <v>423599</v>
      </c>
      <c r="B318" s="120"/>
      <c r="C318" s="35" t="s">
        <v>380</v>
      </c>
      <c r="D318" s="27" t="s">
        <v>146</v>
      </c>
      <c r="E318" s="41">
        <f>500*120</f>
        <v>60000</v>
      </c>
      <c r="F318" s="53"/>
    </row>
    <row r="319" spans="1:6" s="2" customFormat="1" x14ac:dyDescent="0.25">
      <c r="A319" s="35">
        <v>423413</v>
      </c>
      <c r="B319" s="120"/>
      <c r="C319" s="35" t="s">
        <v>21</v>
      </c>
      <c r="D319" s="27" t="s">
        <v>152</v>
      </c>
      <c r="E319" s="41">
        <f>3000*120</f>
        <v>360000</v>
      </c>
      <c r="F319" s="53"/>
    </row>
    <row r="320" spans="1:6" s="2" customFormat="1" x14ac:dyDescent="0.25">
      <c r="A320" s="35"/>
      <c r="B320" s="119"/>
      <c r="C320" s="57" t="s">
        <v>0</v>
      </c>
      <c r="D320" s="57"/>
      <c r="E320" s="50"/>
      <c r="F320" s="50">
        <f>SUM(E315:E319)</f>
        <v>1236000</v>
      </c>
    </row>
    <row r="321" spans="1:6" s="2" customFormat="1" x14ac:dyDescent="0.25">
      <c r="A321" s="35"/>
      <c r="B321" s="119"/>
      <c r="C321" s="57"/>
      <c r="D321" s="57"/>
      <c r="E321" s="50"/>
      <c r="F321" s="50"/>
    </row>
    <row r="322" spans="1:6" s="2" customFormat="1" x14ac:dyDescent="0.25">
      <c r="A322" s="35"/>
      <c r="B322" s="119" t="s">
        <v>216</v>
      </c>
      <c r="C322" s="139" t="s">
        <v>381</v>
      </c>
      <c r="D322" s="57"/>
      <c r="E322" s="50"/>
      <c r="F322" s="50"/>
    </row>
    <row r="323" spans="1:6" s="2" customFormat="1" x14ac:dyDescent="0.25">
      <c r="A323" s="35"/>
      <c r="B323" s="119"/>
      <c r="C323" s="43" t="s">
        <v>373</v>
      </c>
      <c r="D323" s="43"/>
      <c r="E323" s="41"/>
      <c r="F323" s="53"/>
    </row>
    <row r="324" spans="1:6" s="2" customFormat="1" x14ac:dyDescent="0.25">
      <c r="A324" s="35">
        <v>423599</v>
      </c>
      <c r="B324" s="120"/>
      <c r="C324" s="35" t="s">
        <v>100</v>
      </c>
      <c r="D324" s="43" t="s">
        <v>153</v>
      </c>
      <c r="E324" s="41">
        <f>2000*120</f>
        <v>240000</v>
      </c>
      <c r="F324" s="53"/>
    </row>
    <row r="325" spans="1:6" s="2" customFormat="1" x14ac:dyDescent="0.25">
      <c r="A325" s="35">
        <v>423599</v>
      </c>
      <c r="B325" s="120"/>
      <c r="C325" s="35" t="s">
        <v>125</v>
      </c>
      <c r="D325" s="27" t="s">
        <v>226</v>
      </c>
      <c r="E325" s="41">
        <f>700*120</f>
        <v>84000</v>
      </c>
      <c r="F325" s="53"/>
    </row>
    <row r="326" spans="1:6" s="2" customFormat="1" x14ac:dyDescent="0.25">
      <c r="A326" s="35">
        <v>423599</v>
      </c>
      <c r="B326" s="120"/>
      <c r="C326" s="35" t="s">
        <v>126</v>
      </c>
      <c r="D326" s="27" t="s">
        <v>153</v>
      </c>
      <c r="E326" s="41">
        <f>2000*120</f>
        <v>240000</v>
      </c>
      <c r="F326" s="53"/>
    </row>
    <row r="327" spans="1:6" s="2" customFormat="1" x14ac:dyDescent="0.25">
      <c r="A327" s="35">
        <v>423599</v>
      </c>
      <c r="B327" s="120"/>
      <c r="C327" s="35" t="s">
        <v>380</v>
      </c>
      <c r="D327" s="27" t="s">
        <v>225</v>
      </c>
      <c r="E327" s="41">
        <f>600*120</f>
        <v>72000</v>
      </c>
      <c r="F327" s="53"/>
    </row>
    <row r="328" spans="1:6" s="2" customFormat="1" x14ac:dyDescent="0.25">
      <c r="A328" s="35">
        <v>423911</v>
      </c>
      <c r="B328" s="120"/>
      <c r="C328" s="35" t="s">
        <v>26</v>
      </c>
      <c r="D328" s="27" t="s">
        <v>146</v>
      </c>
      <c r="E328" s="41">
        <f>500*120</f>
        <v>60000</v>
      </c>
      <c r="F328" s="53"/>
    </row>
    <row r="329" spans="1:6" s="2" customFormat="1" x14ac:dyDescent="0.25">
      <c r="A329" s="35">
        <v>423413</v>
      </c>
      <c r="B329" s="120"/>
      <c r="C329" s="35" t="s">
        <v>21</v>
      </c>
      <c r="D329" s="27" t="s">
        <v>152</v>
      </c>
      <c r="E329" s="41">
        <f>3000*120</f>
        <v>360000</v>
      </c>
      <c r="F329" s="53"/>
    </row>
    <row r="330" spans="1:6" s="2" customFormat="1" x14ac:dyDescent="0.25">
      <c r="A330" s="35"/>
      <c r="B330" s="119"/>
      <c r="C330" s="57" t="s">
        <v>0</v>
      </c>
      <c r="D330" s="57"/>
      <c r="E330" s="50"/>
      <c r="F330" s="50">
        <v>812000</v>
      </c>
    </row>
    <row r="331" spans="1:6" s="2" customFormat="1" x14ac:dyDescent="0.25">
      <c r="A331" s="35"/>
      <c r="B331" s="119"/>
      <c r="C331" s="140"/>
      <c r="D331" s="57"/>
      <c r="E331" s="50"/>
      <c r="F331" s="50"/>
    </row>
    <row r="332" spans="1:6" s="2" customFormat="1" ht="31.5" x14ac:dyDescent="0.25">
      <c r="A332" s="35"/>
      <c r="B332" s="119" t="s">
        <v>217</v>
      </c>
      <c r="C332" s="139" t="s">
        <v>387</v>
      </c>
      <c r="D332" s="57"/>
      <c r="E332" s="50"/>
      <c r="F332" s="50"/>
    </row>
    <row r="333" spans="1:6" s="2" customFormat="1" x14ac:dyDescent="0.25">
      <c r="A333" s="35"/>
      <c r="B333" s="119"/>
      <c r="C333" s="43" t="s">
        <v>172</v>
      </c>
      <c r="D333" s="43"/>
      <c r="E333" s="41"/>
      <c r="F333" s="53"/>
    </row>
    <row r="334" spans="1:6" s="2" customFormat="1" x14ac:dyDescent="0.25">
      <c r="A334" s="35">
        <v>423599</v>
      </c>
      <c r="B334" s="120"/>
      <c r="C334" s="35" t="s">
        <v>86</v>
      </c>
      <c r="D334" s="43" t="s">
        <v>153</v>
      </c>
      <c r="E334" s="41">
        <f>2000*120</f>
        <v>240000</v>
      </c>
      <c r="F334" s="53"/>
    </row>
    <row r="335" spans="1:6" s="2" customFormat="1" x14ac:dyDescent="0.25">
      <c r="A335" s="35">
        <v>423111</v>
      </c>
      <c r="B335" s="137"/>
      <c r="C335" s="35" t="s">
        <v>20</v>
      </c>
      <c r="D335" s="43" t="s">
        <v>170</v>
      </c>
      <c r="E335" s="41">
        <f>4000*120</f>
        <v>480000</v>
      </c>
      <c r="F335" s="53"/>
    </row>
    <row r="336" spans="1:6" s="2" customFormat="1" x14ac:dyDescent="0.25">
      <c r="A336" s="35">
        <v>423599</v>
      </c>
      <c r="B336" s="120"/>
      <c r="C336" s="35" t="s">
        <v>125</v>
      </c>
      <c r="D336" s="27" t="s">
        <v>155</v>
      </c>
      <c r="E336" s="41">
        <f>1200*120</f>
        <v>144000</v>
      </c>
      <c r="F336" s="53"/>
    </row>
    <row r="337" spans="1:6" s="2" customFormat="1" x14ac:dyDescent="0.25">
      <c r="A337" s="35">
        <v>423599</v>
      </c>
      <c r="B337" s="120"/>
      <c r="C337" s="35" t="s">
        <v>126</v>
      </c>
      <c r="D337" s="27" t="s">
        <v>150</v>
      </c>
      <c r="E337" s="41">
        <f>2500*120</f>
        <v>300000</v>
      </c>
      <c r="F337" s="53"/>
    </row>
    <row r="338" spans="1:6" s="2" customFormat="1" x14ac:dyDescent="0.25">
      <c r="A338" s="35">
        <v>423599</v>
      </c>
      <c r="B338" s="120"/>
      <c r="C338" s="35" t="s">
        <v>380</v>
      </c>
      <c r="D338" s="27" t="s">
        <v>154</v>
      </c>
      <c r="E338" s="41">
        <f>1000*120</f>
        <v>120000</v>
      </c>
      <c r="F338" s="53"/>
    </row>
    <row r="339" spans="1:6" s="2" customFormat="1" x14ac:dyDescent="0.25">
      <c r="A339" s="35">
        <v>423911</v>
      </c>
      <c r="B339" s="120"/>
      <c r="C339" s="35" t="s">
        <v>26</v>
      </c>
      <c r="D339" s="27" t="s">
        <v>146</v>
      </c>
      <c r="E339" s="41">
        <f>500*120</f>
        <v>60000</v>
      </c>
      <c r="F339" s="53"/>
    </row>
    <row r="340" spans="1:6" s="2" customFormat="1" x14ac:dyDescent="0.25">
      <c r="A340" s="35">
        <v>423413</v>
      </c>
      <c r="B340" s="120"/>
      <c r="C340" s="35" t="s">
        <v>21</v>
      </c>
      <c r="D340" s="27" t="s">
        <v>170</v>
      </c>
      <c r="E340" s="41">
        <f>4000*120</f>
        <v>480000</v>
      </c>
      <c r="F340" s="53"/>
    </row>
    <row r="341" spans="1:6" s="2" customFormat="1" x14ac:dyDescent="0.25">
      <c r="A341" s="35"/>
      <c r="B341" s="119"/>
      <c r="C341" s="57" t="s">
        <v>0</v>
      </c>
      <c r="D341" s="57"/>
      <c r="E341" s="50"/>
      <c r="F341" s="50">
        <v>0</v>
      </c>
    </row>
    <row r="342" spans="1:6" s="2" customFormat="1" x14ac:dyDescent="0.25">
      <c r="A342" s="35"/>
      <c r="B342" s="119"/>
      <c r="C342" s="140"/>
      <c r="D342" s="57"/>
      <c r="E342" s="50"/>
      <c r="F342" s="50"/>
    </row>
    <row r="343" spans="1:6" s="2" customFormat="1" x14ac:dyDescent="0.25">
      <c r="A343" s="35"/>
      <c r="B343" s="122" t="s">
        <v>199</v>
      </c>
      <c r="C343" s="138" t="s">
        <v>382</v>
      </c>
      <c r="D343" s="43"/>
      <c r="E343" s="41"/>
      <c r="F343" s="53"/>
    </row>
    <row r="344" spans="1:6" s="2" customFormat="1" x14ac:dyDescent="0.25">
      <c r="A344" s="35"/>
      <c r="B344" s="122"/>
      <c r="C344" s="35" t="s">
        <v>383</v>
      </c>
      <c r="D344" s="43"/>
      <c r="E344" s="41"/>
      <c r="F344" s="53"/>
    </row>
    <row r="345" spans="1:6" s="2" customFormat="1" x14ac:dyDescent="0.25">
      <c r="A345" s="35">
        <v>424221</v>
      </c>
      <c r="B345" s="137"/>
      <c r="C345" s="35" t="s">
        <v>100</v>
      </c>
      <c r="D345" s="43" t="s">
        <v>153</v>
      </c>
      <c r="E345" s="41">
        <f>2000*120</f>
        <v>240000</v>
      </c>
      <c r="F345" s="53"/>
    </row>
    <row r="346" spans="1:6" s="2" customFormat="1" x14ac:dyDescent="0.25">
      <c r="A346" s="35">
        <v>423599</v>
      </c>
      <c r="B346" s="137"/>
      <c r="C346" s="35" t="s">
        <v>98</v>
      </c>
      <c r="D346" s="43" t="s">
        <v>226</v>
      </c>
      <c r="E346" s="41">
        <f>700*120</f>
        <v>84000</v>
      </c>
      <c r="F346" s="53"/>
    </row>
    <row r="347" spans="1:6" s="2" customFormat="1" x14ac:dyDescent="0.25">
      <c r="A347" s="35">
        <v>423599</v>
      </c>
      <c r="B347" s="137"/>
      <c r="C347" s="35" t="s">
        <v>99</v>
      </c>
      <c r="D347" s="43" t="s">
        <v>150</v>
      </c>
      <c r="E347" s="41">
        <f>2500*120</f>
        <v>300000</v>
      </c>
      <c r="F347" s="53"/>
    </row>
    <row r="348" spans="1:6" s="2" customFormat="1" x14ac:dyDescent="0.25">
      <c r="A348" s="35">
        <v>423599</v>
      </c>
      <c r="B348" s="120"/>
      <c r="C348" s="35" t="s">
        <v>380</v>
      </c>
      <c r="D348" s="27" t="s">
        <v>151</v>
      </c>
      <c r="E348" s="41">
        <f>800*120</f>
        <v>96000</v>
      </c>
      <c r="F348" s="53"/>
    </row>
    <row r="349" spans="1:6" s="2" customFormat="1" x14ac:dyDescent="0.25">
      <c r="A349" s="35">
        <v>423911</v>
      </c>
      <c r="B349" s="120"/>
      <c r="C349" s="35" t="s">
        <v>26</v>
      </c>
      <c r="D349" s="27" t="s">
        <v>226</v>
      </c>
      <c r="E349" s="41">
        <f>700*120</f>
        <v>84000</v>
      </c>
      <c r="F349" s="53"/>
    </row>
    <row r="350" spans="1:6" s="2" customFormat="1" ht="16.5" customHeight="1" x14ac:dyDescent="0.25">
      <c r="A350" s="35">
        <v>423413</v>
      </c>
      <c r="B350" s="137"/>
      <c r="C350" s="35" t="s">
        <v>21</v>
      </c>
      <c r="D350" s="43" t="s">
        <v>384</v>
      </c>
      <c r="E350" s="41">
        <f>3300*120</f>
        <v>396000</v>
      </c>
      <c r="F350" s="53"/>
    </row>
    <row r="351" spans="1:6" s="2" customFormat="1" x14ac:dyDescent="0.25">
      <c r="A351" s="35"/>
      <c r="B351" s="122"/>
      <c r="C351" s="57" t="s">
        <v>0</v>
      </c>
      <c r="D351" s="57"/>
      <c r="E351" s="50"/>
      <c r="F351" s="50">
        <v>1000000</v>
      </c>
    </row>
    <row r="352" spans="1:6" s="2" customFormat="1" x14ac:dyDescent="0.25">
      <c r="A352" s="138"/>
      <c r="B352" s="119"/>
      <c r="C352" s="57"/>
      <c r="D352" s="57"/>
      <c r="E352" s="50"/>
      <c r="F352" s="50"/>
    </row>
    <row r="353" spans="1:6" s="2" customFormat="1" x14ac:dyDescent="0.25">
      <c r="A353" s="138"/>
      <c r="B353" s="119" t="s">
        <v>230</v>
      </c>
      <c r="C353" s="139" t="s">
        <v>174</v>
      </c>
      <c r="D353" s="57"/>
      <c r="E353" s="41"/>
      <c r="F353" s="50"/>
    </row>
    <row r="354" spans="1:6" s="2" customFormat="1" ht="22.15" customHeight="1" x14ac:dyDescent="0.25">
      <c r="A354" s="35">
        <v>424221</v>
      </c>
      <c r="B354" s="120"/>
      <c r="C354" s="140" t="s">
        <v>173</v>
      </c>
      <c r="D354" s="140"/>
      <c r="E354" s="41">
        <f>8500*120</f>
        <v>1020000</v>
      </c>
      <c r="F354" s="41"/>
    </row>
    <row r="355" spans="1:6" s="2" customFormat="1" x14ac:dyDescent="0.25">
      <c r="A355" s="35"/>
      <c r="B355" s="119"/>
      <c r="C355" s="57" t="s">
        <v>0</v>
      </c>
      <c r="D355" s="57"/>
      <c r="E355" s="50"/>
      <c r="F355" s="50">
        <f>+E354</f>
        <v>1020000</v>
      </c>
    </row>
    <row r="356" spans="1:6" s="2" customFormat="1" x14ac:dyDescent="0.25">
      <c r="A356" s="35"/>
      <c r="B356" s="119"/>
      <c r="C356" s="57"/>
      <c r="D356" s="57"/>
      <c r="E356" s="50"/>
      <c r="F356" s="50"/>
    </row>
    <row r="357" spans="1:6" s="2" customFormat="1" x14ac:dyDescent="0.25">
      <c r="A357" s="35"/>
      <c r="B357" s="119" t="s">
        <v>218</v>
      </c>
      <c r="C357" s="138" t="s">
        <v>337</v>
      </c>
      <c r="D357" s="43"/>
      <c r="E357" s="41"/>
      <c r="F357" s="53"/>
    </row>
    <row r="358" spans="1:6" s="2" customFormat="1" x14ac:dyDescent="0.25">
      <c r="A358" s="35">
        <v>421619</v>
      </c>
      <c r="B358" s="120"/>
      <c r="C358" s="35" t="s">
        <v>29</v>
      </c>
      <c r="D358" s="43" t="s">
        <v>150</v>
      </c>
      <c r="E358" s="41">
        <f>2500*120</f>
        <v>300000</v>
      </c>
      <c r="F358" s="53"/>
    </row>
    <row r="359" spans="1:6" s="2" customFormat="1" x14ac:dyDescent="0.25">
      <c r="A359" s="35">
        <v>422911</v>
      </c>
      <c r="B359" s="120"/>
      <c r="C359" s="35" t="s">
        <v>28</v>
      </c>
      <c r="D359" s="43" t="s">
        <v>225</v>
      </c>
      <c r="E359" s="41">
        <f>600*120</f>
        <v>72000</v>
      </c>
      <c r="F359" s="53"/>
    </row>
    <row r="360" spans="1:6" s="2" customFormat="1" x14ac:dyDescent="0.25">
      <c r="A360" s="35">
        <v>423911</v>
      </c>
      <c r="B360" s="137"/>
      <c r="C360" s="35" t="s">
        <v>209</v>
      </c>
      <c r="D360" s="43" t="s">
        <v>385</v>
      </c>
      <c r="E360" s="41">
        <f>1600*120</f>
        <v>192000</v>
      </c>
      <c r="F360" s="53"/>
    </row>
    <row r="361" spans="1:6" s="2" customFormat="1" ht="19.899999999999999" customHeight="1" x14ac:dyDescent="0.25">
      <c r="A361" s="35">
        <v>423711</v>
      </c>
      <c r="B361" s="120"/>
      <c r="C361" s="27" t="s">
        <v>62</v>
      </c>
      <c r="D361" s="27" t="s">
        <v>146</v>
      </c>
      <c r="E361" s="41">
        <f>500*120</f>
        <v>60000</v>
      </c>
      <c r="F361" s="42"/>
    </row>
    <row r="362" spans="1:6" x14ac:dyDescent="0.25">
      <c r="C362" s="26" t="s">
        <v>0</v>
      </c>
      <c r="E362" s="13"/>
      <c r="F362" s="17">
        <f>SUM(E358:E361)</f>
        <v>624000</v>
      </c>
    </row>
    <row r="363" spans="1:6" x14ac:dyDescent="0.25">
      <c r="C363" s="26"/>
      <c r="E363" s="13"/>
      <c r="F363" s="17"/>
    </row>
    <row r="364" spans="1:6" x14ac:dyDescent="0.25">
      <c r="B364" s="178" t="s">
        <v>395</v>
      </c>
      <c r="C364" s="179" t="s">
        <v>396</v>
      </c>
      <c r="E364" s="13"/>
      <c r="F364" s="17"/>
    </row>
    <row r="365" spans="1:6" x14ac:dyDescent="0.25">
      <c r="C365" s="26"/>
      <c r="E365" s="13"/>
      <c r="F365" s="17"/>
    </row>
    <row r="366" spans="1:6" x14ac:dyDescent="0.25">
      <c r="C366" s="180" t="s">
        <v>398</v>
      </c>
      <c r="D366" s="181">
        <v>500000</v>
      </c>
      <c r="E366" s="13"/>
      <c r="F366" s="17"/>
    </row>
    <row r="367" spans="1:6" x14ac:dyDescent="0.25">
      <c r="C367" s="26" t="s">
        <v>0</v>
      </c>
      <c r="E367" s="13"/>
      <c r="F367" s="17">
        <v>500000</v>
      </c>
    </row>
    <row r="368" spans="1:6" x14ac:dyDescent="0.25">
      <c r="C368" s="26"/>
      <c r="E368" s="13"/>
      <c r="F368" s="17"/>
    </row>
    <row r="369" spans="1:6" x14ac:dyDescent="0.25">
      <c r="B369" s="178" t="s">
        <v>397</v>
      </c>
      <c r="C369" s="179" t="s">
        <v>399</v>
      </c>
      <c r="E369" s="13"/>
      <c r="F369" s="17"/>
    </row>
    <row r="370" spans="1:6" x14ac:dyDescent="0.25">
      <c r="C370" s="1"/>
      <c r="E370" s="13"/>
      <c r="F370" s="17"/>
    </row>
    <row r="371" spans="1:6" x14ac:dyDescent="0.25">
      <c r="C371" s="180" t="s">
        <v>400</v>
      </c>
      <c r="D371" s="14">
        <v>1000000</v>
      </c>
      <c r="E371" s="13"/>
      <c r="F371" s="17"/>
    </row>
    <row r="372" spans="1:6" x14ac:dyDescent="0.25">
      <c r="C372" s="26" t="s">
        <v>0</v>
      </c>
      <c r="E372" s="13"/>
      <c r="F372" s="17">
        <v>1000000</v>
      </c>
    </row>
    <row r="373" spans="1:6" s="52" customFormat="1" x14ac:dyDescent="0.25">
      <c r="A373" s="6"/>
      <c r="B373" s="10"/>
      <c r="C373" s="192"/>
      <c r="D373" s="192"/>
      <c r="E373" s="192"/>
      <c r="F373" s="192"/>
    </row>
    <row r="374" spans="1:6" s="52" customFormat="1" x14ac:dyDescent="0.25">
      <c r="A374" s="6"/>
      <c r="B374" s="8"/>
      <c r="C374" s="6"/>
      <c r="D374" s="22" t="s">
        <v>30</v>
      </c>
      <c r="E374" s="69"/>
      <c r="F374" s="70">
        <f>+F291+F301+F311+F320+F330+F341+F351+F355+F362+F367+F372</f>
        <v>8364000</v>
      </c>
    </row>
    <row r="375" spans="1:6" s="52" customFormat="1" ht="18" customHeight="1" x14ac:dyDescent="0.25">
      <c r="A375" s="6"/>
      <c r="B375" s="8"/>
      <c r="C375" s="6"/>
      <c r="D375" s="23" t="s">
        <v>85</v>
      </c>
      <c r="E375" s="72"/>
      <c r="F375" s="72">
        <f>F35+F173+F240+F374+F281</f>
        <v>934440000</v>
      </c>
    </row>
    <row r="376" spans="1:6" s="52" customFormat="1" ht="15.4" customHeight="1" x14ac:dyDescent="0.25">
      <c r="A376" s="98"/>
      <c r="B376" s="104"/>
      <c r="C376" s="191"/>
      <c r="D376" s="191"/>
      <c r="E376" s="191"/>
      <c r="F376" s="191"/>
    </row>
    <row r="377" spans="1:6" s="52" customFormat="1" x14ac:dyDescent="0.25">
      <c r="A377" s="98"/>
      <c r="B377" s="8"/>
      <c r="C377" s="4" t="s">
        <v>31</v>
      </c>
      <c r="D377" s="12"/>
      <c r="E377" s="62"/>
      <c r="F377" s="62"/>
    </row>
    <row r="378" spans="1:6" s="52" customFormat="1" ht="30" customHeight="1" x14ac:dyDescent="0.25">
      <c r="A378" s="98"/>
      <c r="B378" s="10"/>
      <c r="C378" s="142" t="s">
        <v>32</v>
      </c>
      <c r="D378" s="143" t="s">
        <v>33</v>
      </c>
      <c r="E378" s="144"/>
      <c r="F378" s="143" t="s">
        <v>34</v>
      </c>
    </row>
    <row r="379" spans="1:6" s="52" customFormat="1" x14ac:dyDescent="0.25">
      <c r="A379" s="98"/>
      <c r="B379" s="8"/>
      <c r="C379" s="145"/>
      <c r="D379" s="174"/>
      <c r="E379" s="175"/>
      <c r="F379" s="62"/>
    </row>
    <row r="380" spans="1:6" s="52" customFormat="1" x14ac:dyDescent="0.25">
      <c r="A380" s="98"/>
      <c r="B380" s="8"/>
      <c r="C380" s="146" t="s">
        <v>35</v>
      </c>
      <c r="D380" s="147"/>
      <c r="E380" s="148">
        <f>+E381</f>
        <v>15000000</v>
      </c>
      <c r="F380" s="149"/>
    </row>
    <row r="381" spans="1:6" s="52" customFormat="1" x14ac:dyDescent="0.25">
      <c r="A381" s="98"/>
      <c r="B381" s="121">
        <v>4111</v>
      </c>
      <c r="C381" s="150" t="s">
        <v>211</v>
      </c>
      <c r="D381" s="151"/>
      <c r="E381" s="151">
        <v>15000000</v>
      </c>
      <c r="F381" s="64"/>
    </row>
    <row r="382" spans="1:6" s="52" customFormat="1" x14ac:dyDescent="0.25">
      <c r="A382" s="98"/>
      <c r="B382" s="121"/>
      <c r="C382" s="146" t="s">
        <v>36</v>
      </c>
      <c r="D382" s="147"/>
      <c r="E382" s="147">
        <v>2800000</v>
      </c>
      <c r="F382" s="64"/>
    </row>
    <row r="383" spans="1:6" s="52" customFormat="1" x14ac:dyDescent="0.25">
      <c r="A383" s="98"/>
      <c r="B383" s="121">
        <v>4121</v>
      </c>
      <c r="C383" s="152" t="s">
        <v>37</v>
      </c>
      <c r="D383" s="151"/>
      <c r="E383" s="151">
        <v>1850000</v>
      </c>
      <c r="F383" s="64"/>
    </row>
    <row r="384" spans="1:6" s="52" customFormat="1" x14ac:dyDescent="0.25">
      <c r="A384" s="98"/>
      <c r="B384" s="121">
        <v>4122</v>
      </c>
      <c r="C384" s="152" t="s">
        <v>38</v>
      </c>
      <c r="D384" s="151"/>
      <c r="E384" s="151">
        <v>950000</v>
      </c>
      <c r="F384" s="64"/>
    </row>
    <row r="385" spans="1:6" s="52" customFormat="1" x14ac:dyDescent="0.25">
      <c r="A385" s="98"/>
      <c r="B385" s="121"/>
      <c r="C385" s="153" t="s">
        <v>39</v>
      </c>
      <c r="D385" s="154"/>
      <c r="E385" s="154">
        <f>+E386</f>
        <v>50000</v>
      </c>
      <c r="F385" s="64"/>
    </row>
    <row r="386" spans="1:6" s="52" customFormat="1" x14ac:dyDescent="0.25">
      <c r="A386" s="98"/>
      <c r="B386" s="121">
        <v>4144</v>
      </c>
      <c r="C386" s="155" t="s">
        <v>145</v>
      </c>
      <c r="D386" s="151"/>
      <c r="E386" s="151">
        <v>50000</v>
      </c>
      <c r="F386" s="64"/>
    </row>
    <row r="387" spans="1:6" s="52" customFormat="1" x14ac:dyDescent="0.25">
      <c r="A387" s="98"/>
      <c r="B387" s="121"/>
      <c r="C387" s="146" t="s">
        <v>40</v>
      </c>
      <c r="D387" s="147"/>
      <c r="E387" s="147">
        <v>500000</v>
      </c>
      <c r="F387" s="64"/>
    </row>
    <row r="388" spans="1:6" s="52" customFormat="1" x14ac:dyDescent="0.25">
      <c r="A388" s="98"/>
      <c r="B388" s="121">
        <v>4151</v>
      </c>
      <c r="C388" s="152" t="s">
        <v>40</v>
      </c>
      <c r="D388" s="151"/>
      <c r="E388" s="151">
        <v>500000</v>
      </c>
      <c r="F388" s="64"/>
    </row>
    <row r="389" spans="1:6" s="52" customFormat="1" x14ac:dyDescent="0.25">
      <c r="A389" s="98"/>
      <c r="B389" s="121"/>
      <c r="C389" s="146" t="s">
        <v>41</v>
      </c>
      <c r="D389" s="147"/>
      <c r="E389" s="147">
        <v>0</v>
      </c>
      <c r="F389" s="64"/>
    </row>
    <row r="390" spans="1:6" s="52" customFormat="1" x14ac:dyDescent="0.25">
      <c r="A390" s="98"/>
      <c r="B390" s="121">
        <v>4161</v>
      </c>
      <c r="C390" s="152" t="s">
        <v>42</v>
      </c>
      <c r="D390" s="151"/>
      <c r="E390" s="151">
        <v>0</v>
      </c>
      <c r="F390" s="64"/>
    </row>
    <row r="391" spans="1:6" s="52" customFormat="1" x14ac:dyDescent="0.25">
      <c r="A391" s="98"/>
      <c r="B391" s="121"/>
      <c r="C391" s="146" t="s">
        <v>43</v>
      </c>
      <c r="D391" s="147"/>
      <c r="E391" s="147">
        <f>+E392+E393+E394+E395+E396+E397+E398</f>
        <v>4730000</v>
      </c>
      <c r="F391" s="64"/>
    </row>
    <row r="392" spans="1:6" s="52" customFormat="1" x14ac:dyDescent="0.25">
      <c r="A392" s="98"/>
      <c r="B392" s="121">
        <v>4211</v>
      </c>
      <c r="C392" s="152" t="s">
        <v>44</v>
      </c>
      <c r="D392" s="151"/>
      <c r="E392" s="151">
        <v>250000</v>
      </c>
      <c r="F392" s="64"/>
    </row>
    <row r="393" spans="1:6" s="52" customFormat="1" x14ac:dyDescent="0.25">
      <c r="A393" s="98"/>
      <c r="B393" s="121">
        <v>4212</v>
      </c>
      <c r="C393" s="155" t="s">
        <v>45</v>
      </c>
      <c r="D393" s="151"/>
      <c r="E393" s="151">
        <v>1000000</v>
      </c>
      <c r="F393" s="64"/>
    </row>
    <row r="394" spans="1:6" s="52" customFormat="1" x14ac:dyDescent="0.25">
      <c r="A394" s="98"/>
      <c r="B394" s="121">
        <v>4213</v>
      </c>
      <c r="C394" s="155" t="s">
        <v>46</v>
      </c>
      <c r="D394" s="151"/>
      <c r="E394" s="151">
        <v>400000</v>
      </c>
      <c r="F394" s="64"/>
    </row>
    <row r="395" spans="1:6" s="52" customFormat="1" x14ac:dyDescent="0.25">
      <c r="A395" s="98"/>
      <c r="B395" s="121">
        <v>4214</v>
      </c>
      <c r="C395" s="155" t="s">
        <v>47</v>
      </c>
      <c r="D395" s="151"/>
      <c r="E395" s="151">
        <v>600000</v>
      </c>
      <c r="F395" s="64"/>
    </row>
    <row r="396" spans="1:6" s="52" customFormat="1" x14ac:dyDescent="0.25">
      <c r="A396" s="98"/>
      <c r="B396" s="121">
        <v>4215</v>
      </c>
      <c r="C396" s="155" t="s">
        <v>48</v>
      </c>
      <c r="D396" s="151"/>
      <c r="E396" s="151">
        <v>250000</v>
      </c>
      <c r="F396" s="64"/>
    </row>
    <row r="397" spans="1:6" s="52" customFormat="1" x14ac:dyDescent="0.25">
      <c r="A397" s="98"/>
      <c r="B397" s="121">
        <v>4216</v>
      </c>
      <c r="C397" s="155" t="s">
        <v>49</v>
      </c>
      <c r="D397" s="151"/>
      <c r="E397" s="151">
        <v>1980000</v>
      </c>
      <c r="F397" s="64"/>
    </row>
    <row r="398" spans="1:6" s="52" customFormat="1" x14ac:dyDescent="0.25">
      <c r="A398" s="98"/>
      <c r="B398" s="121">
        <v>4219</v>
      </c>
      <c r="C398" s="155" t="s">
        <v>50</v>
      </c>
      <c r="D398" s="151"/>
      <c r="E398" s="151">
        <v>250000</v>
      </c>
      <c r="F398" s="64"/>
    </row>
    <row r="399" spans="1:6" s="52" customFormat="1" x14ac:dyDescent="0.25">
      <c r="A399" s="98"/>
      <c r="B399" s="121"/>
      <c r="C399" s="146" t="s">
        <v>51</v>
      </c>
      <c r="D399" s="147"/>
      <c r="E399" s="147">
        <f>+E400+E401+E402+E403</f>
        <v>4000000</v>
      </c>
      <c r="F399" s="64"/>
    </row>
    <row r="400" spans="1:6" s="52" customFormat="1" x14ac:dyDescent="0.25">
      <c r="A400" s="98"/>
      <c r="B400" s="121">
        <v>4221</v>
      </c>
      <c r="C400" s="152" t="s">
        <v>52</v>
      </c>
      <c r="D400" s="151"/>
      <c r="E400" s="151">
        <v>700000</v>
      </c>
      <c r="F400" s="64"/>
    </row>
    <row r="401" spans="1:6" s="52" customFormat="1" x14ac:dyDescent="0.25">
      <c r="A401" s="98"/>
      <c r="B401" s="121">
        <v>4222</v>
      </c>
      <c r="C401" s="152" t="s">
        <v>53</v>
      </c>
      <c r="D401" s="151"/>
      <c r="E401" s="151">
        <f>4000000-1450000</f>
        <v>2550000</v>
      </c>
      <c r="F401" s="64"/>
    </row>
    <row r="402" spans="1:6" s="52" customFormat="1" x14ac:dyDescent="0.25">
      <c r="A402" s="98"/>
      <c r="B402" s="121">
        <v>4223</v>
      </c>
      <c r="C402" s="152" t="s">
        <v>54</v>
      </c>
      <c r="D402" s="151"/>
      <c r="E402" s="151">
        <v>500000</v>
      </c>
      <c r="F402" s="64"/>
    </row>
    <row r="403" spans="1:6" s="52" customFormat="1" x14ac:dyDescent="0.25">
      <c r="A403" s="98"/>
      <c r="B403" s="121">
        <v>4229</v>
      </c>
      <c r="C403" s="152" t="s">
        <v>55</v>
      </c>
      <c r="D403" s="151"/>
      <c r="E403" s="151">
        <v>250000</v>
      </c>
      <c r="F403" s="64"/>
    </row>
    <row r="404" spans="1:6" s="52" customFormat="1" x14ac:dyDescent="0.25">
      <c r="A404" s="98"/>
      <c r="B404" s="121"/>
      <c r="C404" s="146" t="s">
        <v>56</v>
      </c>
      <c r="D404" s="147"/>
      <c r="E404" s="147">
        <f>+E405+E406+E407+E408+E409+E410+E411</f>
        <v>29600000</v>
      </c>
      <c r="F404" s="64"/>
    </row>
    <row r="405" spans="1:6" s="52" customFormat="1" x14ac:dyDescent="0.25">
      <c r="A405" s="98"/>
      <c r="B405" s="121">
        <v>4231</v>
      </c>
      <c r="C405" s="155" t="s">
        <v>57</v>
      </c>
      <c r="D405" s="151"/>
      <c r="E405" s="151">
        <v>3000000</v>
      </c>
      <c r="F405" s="64"/>
    </row>
    <row r="406" spans="1:6" s="52" customFormat="1" x14ac:dyDescent="0.25">
      <c r="A406" s="98"/>
      <c r="B406" s="121">
        <v>4232</v>
      </c>
      <c r="C406" s="155" t="s">
        <v>58</v>
      </c>
      <c r="D406" s="151"/>
      <c r="E406" s="151">
        <v>2200000</v>
      </c>
      <c r="F406" s="64"/>
    </row>
    <row r="407" spans="1:6" s="52" customFormat="1" x14ac:dyDescent="0.25">
      <c r="A407" s="98"/>
      <c r="B407" s="121">
        <v>4233</v>
      </c>
      <c r="C407" s="152" t="s">
        <v>59</v>
      </c>
      <c r="D407" s="151"/>
      <c r="E407" s="151">
        <v>400000</v>
      </c>
      <c r="F407" s="64"/>
    </row>
    <row r="408" spans="1:6" s="134" customFormat="1" x14ac:dyDescent="0.25">
      <c r="A408" s="99"/>
      <c r="B408" s="121">
        <v>4234</v>
      </c>
      <c r="C408" s="155" t="s">
        <v>60</v>
      </c>
      <c r="D408" s="151"/>
      <c r="E408" s="151">
        <v>6000000</v>
      </c>
      <c r="F408" s="72"/>
    </row>
    <row r="409" spans="1:6" s="52" customFormat="1" x14ac:dyDescent="0.25">
      <c r="A409" s="98"/>
      <c r="B409" s="121">
        <v>4235</v>
      </c>
      <c r="C409" s="155" t="s">
        <v>61</v>
      </c>
      <c r="D409" s="151"/>
      <c r="E409" s="151">
        <v>7000000</v>
      </c>
      <c r="F409" s="64"/>
    </row>
    <row r="410" spans="1:6" s="52" customFormat="1" x14ac:dyDescent="0.25">
      <c r="A410" s="98"/>
      <c r="B410" s="121">
        <v>4237</v>
      </c>
      <c r="C410" s="155" t="s">
        <v>62</v>
      </c>
      <c r="D410" s="151"/>
      <c r="E410" s="151">
        <v>2000000</v>
      </c>
      <c r="F410" s="64"/>
    </row>
    <row r="411" spans="1:6" s="52" customFormat="1" x14ac:dyDescent="0.25">
      <c r="A411" s="98"/>
      <c r="B411" s="121">
        <v>4239</v>
      </c>
      <c r="C411" s="155" t="s">
        <v>63</v>
      </c>
      <c r="D411" s="151"/>
      <c r="E411" s="151">
        <v>9000000</v>
      </c>
      <c r="F411" s="64"/>
    </row>
    <row r="412" spans="1:6" s="52" customFormat="1" x14ac:dyDescent="0.25">
      <c r="A412" s="98"/>
      <c r="B412" s="121"/>
      <c r="C412" s="146" t="s">
        <v>64</v>
      </c>
      <c r="D412" s="147"/>
      <c r="E412" s="147">
        <f>+E413</f>
        <v>0</v>
      </c>
      <c r="F412" s="64"/>
    </row>
    <row r="413" spans="1:6" s="52" customFormat="1" x14ac:dyDescent="0.25">
      <c r="A413" s="98"/>
      <c r="B413" s="121">
        <v>4242</v>
      </c>
      <c r="C413" s="152" t="s">
        <v>65</v>
      </c>
      <c r="D413" s="151"/>
      <c r="E413" s="151">
        <v>0</v>
      </c>
      <c r="F413" s="72"/>
    </row>
    <row r="414" spans="1:6" s="52" customFormat="1" x14ac:dyDescent="0.25">
      <c r="A414" s="98"/>
      <c r="B414" s="121"/>
      <c r="C414" s="146" t="s">
        <v>66</v>
      </c>
      <c r="D414" s="147"/>
      <c r="E414" s="147">
        <f>+E415+E416</f>
        <v>1200000</v>
      </c>
      <c r="F414" s="64"/>
    </row>
    <row r="415" spans="1:6" s="52" customFormat="1" x14ac:dyDescent="0.25">
      <c r="A415" s="98"/>
      <c r="B415" s="121">
        <v>4251</v>
      </c>
      <c r="C415" s="152" t="s">
        <v>67</v>
      </c>
      <c r="D415" s="151"/>
      <c r="E415" s="151">
        <v>1000000</v>
      </c>
      <c r="F415" s="64"/>
    </row>
    <row r="416" spans="1:6" s="52" customFormat="1" x14ac:dyDescent="0.25">
      <c r="A416" s="98"/>
      <c r="B416" s="121">
        <v>4252</v>
      </c>
      <c r="C416" s="152" t="s">
        <v>68</v>
      </c>
      <c r="D416" s="151"/>
      <c r="E416" s="151">
        <v>200000</v>
      </c>
      <c r="F416" s="64"/>
    </row>
    <row r="417" spans="1:6" s="52" customFormat="1" x14ac:dyDescent="0.25">
      <c r="A417" s="98"/>
      <c r="B417" s="121"/>
      <c r="C417" s="146" t="s">
        <v>69</v>
      </c>
      <c r="D417" s="147"/>
      <c r="E417" s="147">
        <f>+E418+E419+E420+E421+E422</f>
        <v>1700000</v>
      </c>
      <c r="F417" s="64"/>
    </row>
    <row r="418" spans="1:6" s="52" customFormat="1" x14ac:dyDescent="0.25">
      <c r="A418" s="98"/>
      <c r="B418" s="121">
        <v>4261</v>
      </c>
      <c r="C418" s="155" t="s">
        <v>70</v>
      </c>
      <c r="D418" s="151"/>
      <c r="E418" s="151">
        <v>800000</v>
      </c>
      <c r="F418" s="64"/>
    </row>
    <row r="419" spans="1:6" s="52" customFormat="1" x14ac:dyDescent="0.25">
      <c r="A419" s="98"/>
      <c r="B419" s="121">
        <v>4263</v>
      </c>
      <c r="C419" s="152" t="s">
        <v>71</v>
      </c>
      <c r="D419" s="151"/>
      <c r="E419" s="151">
        <v>300000</v>
      </c>
      <c r="F419" s="64"/>
    </row>
    <row r="420" spans="1:6" s="52" customFormat="1" x14ac:dyDescent="0.25">
      <c r="A420" s="98"/>
      <c r="B420" s="121">
        <v>4264</v>
      </c>
      <c r="C420" s="152" t="s">
        <v>143</v>
      </c>
      <c r="D420" s="151"/>
      <c r="E420" s="151">
        <v>0</v>
      </c>
      <c r="F420" s="64"/>
    </row>
    <row r="421" spans="1:6" s="52" customFormat="1" x14ac:dyDescent="0.25">
      <c r="A421" s="98"/>
      <c r="B421" s="121">
        <v>4266</v>
      </c>
      <c r="C421" s="152" t="s">
        <v>72</v>
      </c>
      <c r="D421" s="151"/>
      <c r="E421" s="151">
        <v>0</v>
      </c>
      <c r="F421" s="64"/>
    </row>
    <row r="422" spans="1:6" s="52" customFormat="1" x14ac:dyDescent="0.25">
      <c r="A422" s="98"/>
      <c r="B422" s="121">
        <v>4268</v>
      </c>
      <c r="C422" s="152" t="s">
        <v>73</v>
      </c>
      <c r="D422" s="151"/>
      <c r="E422" s="151">
        <v>600000</v>
      </c>
      <c r="F422" s="64"/>
    </row>
    <row r="423" spans="1:6" s="52" customFormat="1" x14ac:dyDescent="0.25">
      <c r="A423" s="98"/>
      <c r="B423" s="121"/>
      <c r="C423" s="156" t="s">
        <v>74</v>
      </c>
      <c r="D423" s="154"/>
      <c r="E423" s="154">
        <v>100000</v>
      </c>
      <c r="F423" s="64"/>
    </row>
    <row r="424" spans="1:6" s="52" customFormat="1" x14ac:dyDescent="0.25">
      <c r="A424" s="98"/>
      <c r="B424" s="121">
        <v>4822</v>
      </c>
      <c r="C424" s="152" t="s">
        <v>75</v>
      </c>
      <c r="D424" s="151"/>
      <c r="E424" s="151">
        <v>100000</v>
      </c>
      <c r="F424" s="64"/>
    </row>
    <row r="425" spans="1:6" s="52" customFormat="1" x14ac:dyDescent="0.25">
      <c r="A425" s="98"/>
      <c r="B425" s="121"/>
      <c r="C425" s="156" t="s">
        <v>221</v>
      </c>
      <c r="D425" s="151"/>
      <c r="E425" s="151"/>
      <c r="F425" s="72">
        <f>+F426</f>
        <v>0</v>
      </c>
    </row>
    <row r="426" spans="1:6" s="52" customFormat="1" x14ac:dyDescent="0.25">
      <c r="A426" s="98"/>
      <c r="B426" s="121">
        <v>5113</v>
      </c>
      <c r="C426" s="152" t="s">
        <v>144</v>
      </c>
      <c r="D426" s="151"/>
      <c r="E426" s="151"/>
      <c r="F426" s="64">
        <v>0</v>
      </c>
    </row>
    <row r="427" spans="1:6" s="52" customFormat="1" x14ac:dyDescent="0.25">
      <c r="A427" s="98"/>
      <c r="B427" s="121"/>
      <c r="C427" s="156" t="s">
        <v>76</v>
      </c>
      <c r="D427" s="151"/>
      <c r="E427" s="151"/>
      <c r="F427" s="72">
        <f>+F428+F429</f>
        <v>600000</v>
      </c>
    </row>
    <row r="428" spans="1:6" s="52" customFormat="1" ht="24" customHeight="1" x14ac:dyDescent="0.25">
      <c r="A428" s="98"/>
      <c r="B428" s="121">
        <v>5121</v>
      </c>
      <c r="C428" s="152" t="s">
        <v>222</v>
      </c>
      <c r="D428" s="151"/>
      <c r="E428" s="151"/>
      <c r="F428" s="64">
        <v>0</v>
      </c>
    </row>
    <row r="429" spans="1:6" s="52" customFormat="1" x14ac:dyDescent="0.25">
      <c r="A429" s="98"/>
      <c r="B429" s="121">
        <v>5126</v>
      </c>
      <c r="C429" s="152" t="s">
        <v>223</v>
      </c>
      <c r="D429" s="151"/>
      <c r="E429" s="151"/>
      <c r="F429" s="64">
        <v>600000</v>
      </c>
    </row>
    <row r="430" spans="1:6" x14ac:dyDescent="0.25">
      <c r="A430" s="98"/>
      <c r="B430" s="10"/>
      <c r="C430" s="157"/>
      <c r="D430" s="158"/>
      <c r="E430" s="158"/>
      <c r="F430" s="67"/>
    </row>
    <row r="431" spans="1:6" x14ac:dyDescent="0.25">
      <c r="A431" s="98"/>
      <c r="C431" s="16" t="s">
        <v>84</v>
      </c>
      <c r="D431" s="159">
        <f>+D380+D382+D385+D387+D391+D399+D404+D412+D414+D417+D423</f>
        <v>0</v>
      </c>
      <c r="E431" s="159">
        <f>+E380+E382+E385+E387+E391+E399+E404+E412+E414+E417+E423</f>
        <v>59680000</v>
      </c>
      <c r="F431" s="159">
        <f>+F425+F427</f>
        <v>600000</v>
      </c>
    </row>
    <row r="432" spans="1:6" x14ac:dyDescent="0.25">
      <c r="A432" s="98"/>
      <c r="C432" s="16"/>
      <c r="D432" s="159"/>
      <c r="E432" s="64"/>
      <c r="F432" s="159"/>
    </row>
    <row r="433" spans="1:6" x14ac:dyDescent="0.25">
      <c r="A433" s="98"/>
      <c r="C433" s="4" t="s">
        <v>180</v>
      </c>
      <c r="D433" s="5"/>
      <c r="E433" s="62"/>
    </row>
    <row r="434" spans="1:6" ht="18" customHeight="1" x14ac:dyDescent="0.25">
      <c r="A434" s="98"/>
      <c r="D434" s="5"/>
      <c r="E434" s="64"/>
    </row>
    <row r="435" spans="1:6" x14ac:dyDescent="0.25">
      <c r="A435" s="98"/>
      <c r="C435" s="8" t="s">
        <v>77</v>
      </c>
      <c r="D435" s="9"/>
      <c r="E435" s="72">
        <v>855362000</v>
      </c>
    </row>
    <row r="436" spans="1:6" x14ac:dyDescent="0.25">
      <c r="A436" s="98"/>
      <c r="C436" s="8" t="s">
        <v>82</v>
      </c>
      <c r="D436" s="9"/>
      <c r="E436" s="72">
        <v>49664840</v>
      </c>
    </row>
    <row r="437" spans="1:6" x14ac:dyDescent="0.25">
      <c r="A437" s="98"/>
      <c r="C437" s="8" t="s">
        <v>123</v>
      </c>
      <c r="D437" s="9"/>
      <c r="E437" s="72">
        <v>18350160</v>
      </c>
    </row>
    <row r="438" spans="1:6" x14ac:dyDescent="0.25">
      <c r="A438" s="98"/>
      <c r="C438" s="8" t="s">
        <v>213</v>
      </c>
      <c r="D438" s="9"/>
      <c r="E438" s="72">
        <v>2699000</v>
      </c>
    </row>
    <row r="439" spans="1:6" x14ac:dyDescent="0.25">
      <c r="A439" s="98"/>
      <c r="C439" s="8" t="s">
        <v>78</v>
      </c>
      <c r="D439" s="9"/>
      <c r="E439" s="72">
        <v>8364000</v>
      </c>
    </row>
    <row r="440" spans="1:6" x14ac:dyDescent="0.25">
      <c r="A440" s="98"/>
      <c r="C440" s="8" t="s">
        <v>79</v>
      </c>
      <c r="D440" s="9"/>
      <c r="E440" s="72">
        <v>59680000</v>
      </c>
    </row>
    <row r="441" spans="1:6" x14ac:dyDescent="0.25">
      <c r="A441" s="98"/>
      <c r="C441" s="8" t="s">
        <v>80</v>
      </c>
      <c r="D441" s="9"/>
      <c r="E441" s="72">
        <v>600000</v>
      </c>
    </row>
    <row r="442" spans="1:6" x14ac:dyDescent="0.25">
      <c r="A442" s="98"/>
      <c r="B442" s="10"/>
      <c r="C442" s="10"/>
      <c r="D442" s="11"/>
      <c r="E442" s="67"/>
      <c r="F442" s="67"/>
    </row>
    <row r="443" spans="1:6" x14ac:dyDescent="0.25">
      <c r="A443" s="98"/>
      <c r="C443" s="16" t="s">
        <v>87</v>
      </c>
      <c r="D443" s="9"/>
      <c r="E443" s="72">
        <f>SUM(E435:E442)</f>
        <v>994720000</v>
      </c>
      <c r="F443" s="160"/>
    </row>
    <row r="444" spans="1:6" x14ac:dyDescent="0.25">
      <c r="A444" s="98"/>
      <c r="E444" s="64"/>
    </row>
    <row r="445" spans="1:6" x14ac:dyDescent="0.25">
      <c r="A445" s="98"/>
      <c r="E445" s="64"/>
    </row>
    <row r="446" spans="1:6" x14ac:dyDescent="0.25">
      <c r="A446" s="98"/>
      <c r="E446" s="64"/>
    </row>
    <row r="447" spans="1:6" x14ac:dyDescent="0.25">
      <c r="A447" s="98"/>
      <c r="C447" s="6" t="s">
        <v>406</v>
      </c>
      <c r="D447" s="161" t="s">
        <v>388</v>
      </c>
      <c r="E447" s="64"/>
    </row>
    <row r="448" spans="1:6" ht="28.5" customHeight="1" x14ac:dyDescent="0.25">
      <c r="A448" s="98"/>
      <c r="D448" s="161" t="s">
        <v>336</v>
      </c>
      <c r="E448" s="64"/>
    </row>
  </sheetData>
  <autoFilter ref="A1:A448" xr:uid="{00000000-0009-0000-0000-000000000000}"/>
  <mergeCells count="51">
    <mergeCell ref="C145:F145"/>
    <mergeCell ref="C154:F154"/>
    <mergeCell ref="C159:F159"/>
    <mergeCell ref="C164:F164"/>
    <mergeCell ref="C108:F108"/>
    <mergeCell ref="C118:F118"/>
    <mergeCell ref="C127:F127"/>
    <mergeCell ref="C139:F139"/>
    <mergeCell ref="C144:D144"/>
    <mergeCell ref="C93:E93"/>
    <mergeCell ref="C98:F98"/>
    <mergeCell ref="C107:D107"/>
    <mergeCell ref="A75:C75"/>
    <mergeCell ref="A90:C90"/>
    <mergeCell ref="C1:E1"/>
    <mergeCell ref="C2:E2"/>
    <mergeCell ref="C15:F15"/>
    <mergeCell ref="C39:F39"/>
    <mergeCell ref="C43:D43"/>
    <mergeCell ref="C44:F44"/>
    <mergeCell ref="C55:F55"/>
    <mergeCell ref="C284:D284"/>
    <mergeCell ref="C273:D273"/>
    <mergeCell ref="B209:E209"/>
    <mergeCell ref="C183:D183"/>
    <mergeCell ref="C182:F182"/>
    <mergeCell ref="C188:F188"/>
    <mergeCell ref="C177:F177"/>
    <mergeCell ref="C200:F200"/>
    <mergeCell ref="B203:E203"/>
    <mergeCell ref="C191:F191"/>
    <mergeCell ref="C198:F198"/>
    <mergeCell ref="C193:F193"/>
    <mergeCell ref="C65:F65"/>
    <mergeCell ref="C78:F78"/>
    <mergeCell ref="C169:F169"/>
    <mergeCell ref="C205:F205"/>
    <mergeCell ref="C376:F376"/>
    <mergeCell ref="C373:F373"/>
    <mergeCell ref="C211:F211"/>
    <mergeCell ref="C283:D283"/>
    <mergeCell ref="C216:F216"/>
    <mergeCell ref="C226:F226"/>
    <mergeCell ref="C221:F221"/>
    <mergeCell ref="C274:F274"/>
    <mergeCell ref="C242:F242"/>
    <mergeCell ref="C251:F251"/>
    <mergeCell ref="C258:F258"/>
    <mergeCell ref="C266:F266"/>
    <mergeCell ref="C231:F231"/>
    <mergeCell ref="C244:F244"/>
  </mergeCells>
  <phoneticPr fontId="3" type="noConversion"/>
  <pageMargins left="0.19685039370078741" right="0" top="0" bottom="0" header="0.31496062992125984" footer="0.31496062992125984"/>
  <pageSetup paperSize="9" scale="65" fitToHeight="0" orientation="landscape" r:id="rId1"/>
  <rowBreaks count="13" manualBreakCount="13">
    <brk id="35" max="16383" man="1"/>
    <brk id="62" max="16383" man="1"/>
    <brk id="91" max="16383" man="1"/>
    <brk id="125" max="16383" man="1"/>
    <brk id="143" max="16383" man="1"/>
    <brk id="173" max="16383" man="1"/>
    <brk id="208" max="16383" man="1"/>
    <brk id="240" max="16383" man="1"/>
    <brk id="272" max="16383" man="1"/>
    <brk id="281" max="16383" man="1"/>
    <brk id="320" max="16383" man="1"/>
    <brk id="375" max="16383" man="1"/>
    <brk id="422"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opsezi</vt:lpstr>
      </vt:variant>
      <vt:variant>
        <vt:i4>1</vt:i4>
      </vt:variant>
    </vt:vector>
  </HeadingPairs>
  <TitlesOfParts>
    <vt:vector size="2" baseType="lpstr">
      <vt:lpstr>фЦС ПЛАН 2024.</vt:lpstr>
      <vt:lpstr>'фЦС ПЛАН 2024.'!Oblast_štampanja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Bojan Đurovac</cp:lastModifiedBy>
  <cp:lastPrinted>2024-10-14T13:49:03Z</cp:lastPrinted>
  <dcterms:created xsi:type="dcterms:W3CDTF">2015-01-09T09:45:15Z</dcterms:created>
  <dcterms:modified xsi:type="dcterms:W3CDTF">2024-10-25T14:56:35Z</dcterms:modified>
</cp:coreProperties>
</file>