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129"/>
  <workbookPr showInkAnnotation="0" autoCompressPictures="0"/>
  <mc:AlternateContent xmlns:mc="http://schemas.openxmlformats.org/markup-compatibility/2006">
    <mc:Choice Requires="x15">
      <x15ac:absPath xmlns:x15ac="http://schemas.microsoft.com/office/spreadsheetml/2010/11/ac" url="C:\Users\Bojan\Desktop\Aneks 3\"/>
    </mc:Choice>
  </mc:AlternateContent>
  <xr:revisionPtr revIDLastSave="0" documentId="13_ncr:1_{2D92B9FA-061A-4696-BAD2-BB71DA30BF4A}" xr6:coauthVersionLast="47" xr6:coauthVersionMax="47" xr10:uidLastSave="{00000000-0000-0000-0000-000000000000}"/>
  <bookViews>
    <workbookView xWindow="-120" yWindow="-120" windowWidth="29040" windowHeight="15840" tabRatio="793" xr2:uid="{00000000-000D-0000-FFFF-FFFF00000000}"/>
  </bookViews>
  <sheets>
    <sheet name="фЦС ПЛАН 2024." sheetId="6" r:id="rId1"/>
  </sheets>
  <definedNames>
    <definedName name="_xlnm._FilterDatabase" localSheetId="0" hidden="1">'фЦС ПЛАН 2024.'!$A$1:$A$443</definedName>
    <definedName name="_ftn1" localSheetId="0">'фЦС ПЛАН 2024.'!#REF!</definedName>
    <definedName name="_ftnref1" localSheetId="0">'фЦС ПЛАН 2024.'!#REF!</definedName>
    <definedName name="_xlnm.Print_Area" localSheetId="0">'фЦС ПЛАН 2024.'!$A$1:$F$446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xmlns:mx="http://schemas.microsoft.com/office/mac/excel/2008/main" uri="{7523E5D3-25F3-A5E0-1632-64F254C22452}">
      <mx:ArchID Flags="2"/>
    </ext>
  </extLst>
</workbook>
</file>

<file path=xl/calcChain.xml><?xml version="1.0" encoding="utf-8"?>
<calcChain xmlns="http://schemas.openxmlformats.org/spreadsheetml/2006/main">
  <c r="F35" i="6" l="1"/>
  <c r="F235" i="6"/>
  <c r="F286" i="6"/>
  <c r="E295" i="6"/>
  <c r="F203" i="6"/>
  <c r="E438" i="6"/>
  <c r="E380" i="6"/>
  <c r="E407" i="6"/>
  <c r="E412" i="6"/>
  <c r="E409" i="6"/>
  <c r="E399" i="6"/>
  <c r="E396" i="6"/>
  <c r="E394" i="6" s="1"/>
  <c r="E392" i="6"/>
  <c r="E386" i="6" s="1"/>
  <c r="E375" i="6"/>
  <c r="D66" i="6"/>
  <c r="E48" i="6"/>
  <c r="E46" i="6"/>
  <c r="E45" i="6"/>
  <c r="E212" i="6"/>
  <c r="E47" i="6"/>
  <c r="E49" i="6"/>
  <c r="E222" i="6"/>
  <c r="E30" i="6"/>
  <c r="E26" i="6"/>
  <c r="E18" i="6"/>
  <c r="E17" i="6"/>
  <c r="E19" i="6"/>
  <c r="E31" i="6"/>
  <c r="F100" i="6"/>
  <c r="F174" i="6"/>
  <c r="F185" i="6"/>
  <c r="F197" i="6"/>
  <c r="F208" i="6"/>
  <c r="F228" i="6"/>
  <c r="F266" i="6"/>
  <c r="F420" i="6"/>
  <c r="F422" i="6"/>
  <c r="E356" i="6"/>
  <c r="E355" i="6"/>
  <c r="E354" i="6"/>
  <c r="E353" i="6"/>
  <c r="E282" i="6"/>
  <c r="E283" i="6"/>
  <c r="E284" i="6"/>
  <c r="E290" i="6"/>
  <c r="E291" i="6"/>
  <c r="E292" i="6"/>
  <c r="E293" i="6"/>
  <c r="E294" i="6"/>
  <c r="E300" i="6"/>
  <c r="E301" i="6"/>
  <c r="E302" i="6"/>
  <c r="E303" i="6"/>
  <c r="E304" i="6"/>
  <c r="E305" i="6"/>
  <c r="E310" i="6"/>
  <c r="E311" i="6"/>
  <c r="E312" i="6"/>
  <c r="E313" i="6"/>
  <c r="E314" i="6"/>
  <c r="E319" i="6"/>
  <c r="E320" i="6"/>
  <c r="E321" i="6"/>
  <c r="E322" i="6"/>
  <c r="E323" i="6"/>
  <c r="E324" i="6"/>
  <c r="E329" i="6"/>
  <c r="E330" i="6"/>
  <c r="E331" i="6"/>
  <c r="E332" i="6"/>
  <c r="E333" i="6"/>
  <c r="E334" i="6"/>
  <c r="E335" i="6"/>
  <c r="E340" i="6"/>
  <c r="E341" i="6"/>
  <c r="E342" i="6"/>
  <c r="E343" i="6"/>
  <c r="E344" i="6"/>
  <c r="E345" i="6"/>
  <c r="E349" i="6"/>
  <c r="E69" i="6"/>
  <c r="E70" i="6"/>
  <c r="E71" i="6"/>
  <c r="E72" i="6"/>
  <c r="E73" i="6"/>
  <c r="E74" i="6"/>
  <c r="E56" i="6"/>
  <c r="E57" i="6"/>
  <c r="E59" i="6"/>
  <c r="E60" i="6"/>
  <c r="E61" i="6"/>
  <c r="E79" i="6"/>
  <c r="E80" i="6"/>
  <c r="E83" i="6"/>
  <c r="E84" i="6"/>
  <c r="E85" i="6"/>
  <c r="E86" i="6"/>
  <c r="E87" i="6"/>
  <c r="E94" i="6"/>
  <c r="E103" i="6"/>
  <c r="E104" i="6"/>
  <c r="E109" i="6"/>
  <c r="E110" i="6"/>
  <c r="E111" i="6"/>
  <c r="E112" i="6"/>
  <c r="E114" i="6"/>
  <c r="E119" i="6"/>
  <c r="E120" i="6"/>
  <c r="E121" i="6"/>
  <c r="E123" i="6"/>
  <c r="E128" i="6"/>
  <c r="E129" i="6"/>
  <c r="E130" i="6"/>
  <c r="E131" i="6"/>
  <c r="E140" i="6"/>
  <c r="E146" i="6"/>
  <c r="E147" i="6"/>
  <c r="E149" i="6"/>
  <c r="E150" i="6"/>
  <c r="E160" i="6"/>
  <c r="E165" i="6"/>
  <c r="E191" i="6"/>
  <c r="E241" i="6"/>
  <c r="E242" i="6"/>
  <c r="E243" i="6"/>
  <c r="E247" i="6"/>
  <c r="E248" i="6"/>
  <c r="E249" i="6"/>
  <c r="E254" i="6"/>
  <c r="E255" i="6"/>
  <c r="E256" i="6"/>
  <c r="E272" i="6"/>
  <c r="F274" i="6" s="1"/>
  <c r="D426" i="6" l="1"/>
  <c r="E426" i="6"/>
  <c r="F250" i="6"/>
  <c r="F315" i="6"/>
  <c r="F369" i="6" s="1"/>
  <c r="D68" i="6"/>
  <c r="F258" i="6"/>
  <c r="F244" i="6"/>
  <c r="F136" i="6"/>
  <c r="F124" i="6"/>
  <c r="F168" i="6"/>
  <c r="F426" i="6"/>
  <c r="D11" i="6" s="1"/>
  <c r="D5" i="6" l="1"/>
  <c r="F276" i="6"/>
  <c r="F370" i="6" s="1"/>
  <c r="D7" i="6"/>
  <c r="D8" i="6" l="1"/>
  <c r="D6" i="6"/>
  <c r="D13" i="6" l="1"/>
  <c r="E5" i="6" s="1"/>
  <c r="E11" i="6" l="1"/>
  <c r="E6" i="6"/>
  <c r="E9" i="6"/>
  <c r="E8" i="6"/>
  <c r="E7" i="6"/>
  <c r="E10" i="6"/>
  <c r="E13" i="6" l="1"/>
</calcChain>
</file>

<file path=xl/sharedStrings.xml><?xml version="1.0" encoding="utf-8"?>
<sst xmlns="http://schemas.openxmlformats.org/spreadsheetml/2006/main" count="539" uniqueCount="404">
  <si>
    <t>ТОТАЛ</t>
  </si>
  <si>
    <t>Слање филмова и осталих материјала за селекцију</t>
  </si>
  <si>
    <t xml:space="preserve">Преносиве акредитациjе </t>
  </si>
  <si>
    <t>Припадаjуће дневнице</t>
  </si>
  <si>
    <t>Смештаj</t>
  </si>
  <si>
    <t>Путно осигурање</t>
  </si>
  <si>
    <t>Дневнице</t>
  </si>
  <si>
    <t>ФЦС је члан Европске филмске промоције, организације која настоји да укаже и наметне европски филм на маркетима, фестивалима у свету. Чланством у ЕФП смањују се појединачни трошкови промоциjе филма у свету, посебно на маркетима у Азији и Америци.</t>
  </si>
  <si>
    <t>Авио карте</t>
  </si>
  <si>
    <t>Чланство</t>
  </si>
  <si>
    <t xml:space="preserve">FNE  Film New Europe Association jе платформа филмских професионалаца Источне, Централне Европе и Балтичке региjе. Основана jе од стране наjважниjих филмских институциjа у региjи. У оквиру асоциjациjе постоjи и webportal, коjи обавештава цео регион о актуелним дешавањима.   </t>
  </si>
  <si>
    <t>Годишња чланарина</t>
  </si>
  <si>
    <t>Авионске карте</t>
  </si>
  <si>
    <t>Котизациjа за радионице</t>
  </si>
  <si>
    <t>Смештај</t>
  </si>
  <si>
    <t>Дневнице за представнике ФЦС</t>
  </si>
  <si>
    <t>Промотивни материјали на штанду (торбе, УСБ картице)</t>
  </si>
  <si>
    <t>Слање филмова и материјала</t>
  </si>
  <si>
    <t>Превоз страних експерата у локалу</t>
  </si>
  <si>
    <t>Припрема каталога (прикупљање и обрада података и материјала за филмове)</t>
  </si>
  <si>
    <t>Превод</t>
  </si>
  <si>
    <t>Штампа</t>
  </si>
  <si>
    <t>ТОТАЛ МЕЂУНАРОДНА</t>
  </si>
  <si>
    <t>Маркет Канског филмског фестивала</t>
  </si>
  <si>
    <t>Маркет Берлинског филмског фестивала</t>
  </si>
  <si>
    <t>Сараjево филм фестивал</t>
  </si>
  <si>
    <t>Израда индекса</t>
  </si>
  <si>
    <t>Лектура/коректура</t>
  </si>
  <si>
    <t>Трошкови слања књига</t>
  </si>
  <si>
    <t>Закуп штанда</t>
  </si>
  <si>
    <t>ТОТАЛ ИЗДАВАШТВО</t>
  </si>
  <si>
    <t>ЗАХТЕВ УСТАНОВЕ / средства из БУЏЕТА</t>
  </si>
  <si>
    <t>ОПИС</t>
  </si>
  <si>
    <t>РЕДОВНА ДЕЛАТНОСТ</t>
  </si>
  <si>
    <t>ПРОГРАМИ И ИНВЕСТИЦИЈЕ</t>
  </si>
  <si>
    <t>Зараде</t>
  </si>
  <si>
    <t xml:space="preserve">Социјални доприноси </t>
  </si>
  <si>
    <t>Допринос за пензијско и инвалидско осигурање</t>
  </si>
  <si>
    <t>Допринос за здравствено осигурање</t>
  </si>
  <si>
    <t xml:space="preserve">Социјална давања запосленима </t>
  </si>
  <si>
    <t>Накнаде трошкова за запослене</t>
  </si>
  <si>
    <t xml:space="preserve">Награде запосленима </t>
  </si>
  <si>
    <t xml:space="preserve">Награде запосленима и ост.посеб.расходи </t>
  </si>
  <si>
    <t>Стални трошкови</t>
  </si>
  <si>
    <t>Трошкови платног промета и банкарских услуга</t>
  </si>
  <si>
    <t>Енергетске услуге</t>
  </si>
  <si>
    <t>Комуналне услуге</t>
  </si>
  <si>
    <t>Услуге комуникација</t>
  </si>
  <si>
    <t>Трошкови осигурања</t>
  </si>
  <si>
    <t>Закуп имовине и опреме</t>
  </si>
  <si>
    <t>Остали трошкови</t>
  </si>
  <si>
    <t>Трошкови  путовања</t>
  </si>
  <si>
    <t>Трошкови службених путовања у земљи</t>
  </si>
  <si>
    <t>Трошкови службених путовања  у иностранству</t>
  </si>
  <si>
    <t>Трошкови путовања у оквиру редовног рада</t>
  </si>
  <si>
    <t>Остали трошкови транспорта</t>
  </si>
  <si>
    <t>Услуге по уговору</t>
  </si>
  <si>
    <t>Административне услуге</t>
  </si>
  <si>
    <t>Компјутерске услуге</t>
  </si>
  <si>
    <t>Услуге образовања и усавршавања запослених</t>
  </si>
  <si>
    <t>Услуге информисања</t>
  </si>
  <si>
    <t>Стручне услуге</t>
  </si>
  <si>
    <t>Репрезентација</t>
  </si>
  <si>
    <t>Остале опште услуге</t>
  </si>
  <si>
    <t>Специјализоване услуге</t>
  </si>
  <si>
    <t>Услуге образовања, културе и спорта</t>
  </si>
  <si>
    <t>Текуће поправке и одржавање</t>
  </si>
  <si>
    <t>Текуће поправке и одржавање зграда и објеката</t>
  </si>
  <si>
    <t>Текуће поправке и одржавање зграда опреме</t>
  </si>
  <si>
    <t>Материјал</t>
  </si>
  <si>
    <t>Административни материјал</t>
  </si>
  <si>
    <t>Материјали за образовање и усавршавање заопослених</t>
  </si>
  <si>
    <t>Материјали за образовање, културу и спорт</t>
  </si>
  <si>
    <t>Материјали за одржавање хигијене и угоститељство</t>
  </si>
  <si>
    <t>Порези таске и казне</t>
  </si>
  <si>
    <t>Обавезне таксе</t>
  </si>
  <si>
    <t>Машине и опрема</t>
  </si>
  <si>
    <t>КОНКУРСИ</t>
  </si>
  <si>
    <t>ИЗДАВАШТВО</t>
  </si>
  <si>
    <t>ТЕКУЋИ ТРОШКОВИ (РЕДОВНА ДЕЛАТНОСТ)</t>
  </si>
  <si>
    <t>ИНВЕСТИЦИЈЕ И ОПРЕМА</t>
  </si>
  <si>
    <t>ТОТАЛ КОНКУРСИ</t>
  </si>
  <si>
    <t xml:space="preserve">МЕЂУНАРОДНА САРАДЊА И ПРОМОЦИЈА </t>
  </si>
  <si>
    <t>Филмски центар Србије</t>
  </si>
  <si>
    <t>ТОТАЛ РЕДОВНА ДЕЛАТНОСТ И ИНВЕСТИЦИЈЕ</t>
  </si>
  <si>
    <t xml:space="preserve">ТОТАЛ ПРОГРАМИ </t>
  </si>
  <si>
    <t>Ауторска права</t>
  </si>
  <si>
    <t xml:space="preserve">ТОТАЛ ПРОГРАМИ, РЕДОВНА ДЕЛАТНОСТ И ИНВЕСТИЦИЈЕ </t>
  </si>
  <si>
    <t>РСД</t>
  </si>
  <si>
    <t>CineLink - Награда ФЦС</t>
  </si>
  <si>
    <t>Трст - When East Meets West</t>
  </si>
  <si>
    <t>Награда филмског центра Србије за најбољи пројекат у развоју</t>
  </si>
  <si>
    <t>Трошкови реализације програма - Награда младе публике</t>
  </si>
  <si>
    <t>Филмски центар Србије, Радио-телевизија Србије, Културни центар Београд, Југословенска кинотека, Отворени универзитет Суботица / Фестивал европског филма Палић, Удружење грађана „Поглед у свет“ / Фестивал ауторског филма, Фонд Б92 / Фестивал Слободна зона, Међународни фестивал документарног филма под називом „БЕЛДОКС“ и чланови породице Небојше Поповића додељује годишњу Награду ”Небојша Поповић” појединцу или групи која је својим посебним активностима и залагањем дала значајан и дуготрајан допринос промоцији и критичком промишљању филмске уметности и културе, посебно домаћег филма.</t>
  </si>
  <si>
    <t>Новчани износ награде добитнику</t>
  </si>
  <si>
    <t>Уметнички обликовани предмет</t>
  </si>
  <si>
    <t>REACT / партнерство и учешће продуцената из Србије</t>
  </si>
  <si>
    <t xml:space="preserve">Котизација за учешће српских продуцената </t>
  </si>
  <si>
    <t>Лекутра/коректура</t>
  </si>
  <si>
    <t>Прелом и дизајн</t>
  </si>
  <si>
    <t>Ауторски хонорар</t>
  </si>
  <si>
    <t>Фонд за подршку, подстицање и промоцију српског филма у земљи и свету</t>
  </si>
  <si>
    <t xml:space="preserve">Дневнице за представникe ФЦС </t>
  </si>
  <si>
    <t>Награда ”Небојша Поповић”</t>
  </si>
  <si>
    <t>Награда младе публике - Young Audience Award European film academy</t>
  </si>
  <si>
    <t xml:space="preserve">ИДФА - промоциjа документарних филмова </t>
  </si>
  <si>
    <t xml:space="preserve">Радионице за документарни филм  </t>
  </si>
  <si>
    <t>FNE - Film New Europe Association</t>
  </si>
  <si>
    <t>Смештај за учеснике</t>
  </si>
  <si>
    <t>Занатске радионице за неформално образовање</t>
  </si>
  <si>
    <t>Најам опреме потребне за реализацију радионице ( фар, кран, агрегат, расветна тела…)</t>
  </si>
  <si>
    <t>Трошкови реализације</t>
  </si>
  <si>
    <t>Павиљон, изнајмљивање простора, изградња и декорација</t>
  </si>
  <si>
    <t>Трошкови на штанду</t>
  </si>
  <si>
    <t>%</t>
  </si>
  <si>
    <t>Дневнице за представника ФЦС</t>
  </si>
  <si>
    <t>Стална активност ФЦС у промоцији српског филма је и подршка продуцентским кућама у слању промотивних материјала и DCP-јева фестивалима и филмским смотрама. За оне фестивале који немају праксу да ове трошкове покривају, ФЦС чини у интересу продуцентских кућа.</t>
  </si>
  <si>
    <t>Путни трошкови - 6 авионских карата</t>
  </si>
  <si>
    <t>Aкредитације за учеснике</t>
  </si>
  <si>
    <t>ДОМАЋА САРАДЊA</t>
  </si>
  <si>
    <t>Чланство у Европској филмској промоцији (European Film Promotion)</t>
  </si>
  <si>
    <t>МЕЂУНАРОДНА САРАДЊА</t>
  </si>
  <si>
    <t>TОТАЛ ДОМАЋА САРАДЊА</t>
  </si>
  <si>
    <t>ДОМАЋА САРАДЊА</t>
  </si>
  <si>
    <t>Дигитализација и рестаурација грађе Филмског центра Србије</t>
  </si>
  <si>
    <t>Лекутра-коректура</t>
  </si>
  <si>
    <t xml:space="preserve">Дизајн и трошкови прелома </t>
  </si>
  <si>
    <t>2.1.</t>
  </si>
  <si>
    <t>2.2.</t>
  </si>
  <si>
    <t>2.3.</t>
  </si>
  <si>
    <t>2.4.</t>
  </si>
  <si>
    <t>2.6.</t>
  </si>
  <si>
    <t>2.5.</t>
  </si>
  <si>
    <t>2.10.</t>
  </si>
  <si>
    <t>3.1.</t>
  </si>
  <si>
    <t>3.2.</t>
  </si>
  <si>
    <t>3.3.</t>
  </si>
  <si>
    <t>3.4.</t>
  </si>
  <si>
    <t>3.5.</t>
  </si>
  <si>
    <t>3.6.</t>
  </si>
  <si>
    <t>3.7.</t>
  </si>
  <si>
    <t>3.8.</t>
  </si>
  <si>
    <t>3.9.</t>
  </si>
  <si>
    <t>Материјали за саобраћај</t>
  </si>
  <si>
    <t>Капитално одржавање зграда и објеката</t>
  </si>
  <si>
    <t>Помоћ у медицинском лечењу запосленог</t>
  </si>
  <si>
    <t>500 EUR.</t>
  </si>
  <si>
    <t>30.000 RSD.</t>
  </si>
  <si>
    <t>5.000 EUR.</t>
  </si>
  <si>
    <t>3500 EUR.</t>
  </si>
  <si>
    <t>2500 EUR.</t>
  </si>
  <si>
    <t>800 EUR.</t>
  </si>
  <si>
    <t>3000 EUR.</t>
  </si>
  <si>
    <t>2000 EUR.</t>
  </si>
  <si>
    <t>1000 EUR.</t>
  </si>
  <si>
    <t>1200 EUR.</t>
  </si>
  <si>
    <t>Трошкови на штанду и репрезентација</t>
  </si>
  <si>
    <t>Акредитације</t>
  </si>
  <si>
    <t>Преносиве акредитације</t>
  </si>
  <si>
    <t>1.000 EUR</t>
  </si>
  <si>
    <t xml:space="preserve">Чланство </t>
  </si>
  <si>
    <t>EFAD - чланство</t>
  </si>
  <si>
    <t>ЕФАД (удружење директора европских филмских агенција) - окупљају директоре националних филмских фондова европских земаља. 35 чланица ЕФАД-а су државни ограни или институције повезане са владом, задужене за национално финансирање аудио-визуелног сектора и са одговорношћу да саветују или регулишу све аспекте аудио-визуелне политике. ФЦС је пуноправни члан ЕФАД-а од 2019. године.</t>
  </si>
  <si>
    <t>Дигитализација и архивирање штампане архивске грађе (Годишњаци, дописи и сл.)</t>
  </si>
  <si>
    <t>Рестаурација и дигитализација филмски свезака</t>
  </si>
  <si>
    <t xml:space="preserve">Трошкови организације </t>
  </si>
  <si>
    <t xml:space="preserve">ТОТАЛ </t>
  </si>
  <si>
    <t>120.000 RSD.</t>
  </si>
  <si>
    <t>Награда ”Марко Глушац”</t>
  </si>
  <si>
    <t>3.10.</t>
  </si>
  <si>
    <t>4000 EUR.</t>
  </si>
  <si>
    <t>1500 EUR.</t>
  </si>
  <si>
    <t>Тираж: 500</t>
  </si>
  <si>
    <t>Подршка  (Филмски центар Србије ко-издавач)</t>
  </si>
  <si>
    <t>ФОНД ЗА ПОМОЋ ДРУГИМ ИЗДАВАЧИМА</t>
  </si>
  <si>
    <t>3.11.</t>
  </si>
  <si>
    <t xml:space="preserve"> BPX</t>
  </si>
  <si>
    <t>Суфинансирање дистрибуције домаћих филмова у Србији</t>
  </si>
  <si>
    <t>Дизајн каталога, огласа, позивница и постера</t>
  </si>
  <si>
    <t xml:space="preserve">Копродукциони форум When East Мeets West - WEMW се одржава у оквиру Међународног филмског фестивала у Трсту уз помоћ ФВГ аудиовизуелног фонда уз подршку Креативне Европе, Италиjанског министарства културе а у сарадњи са EAVE, већ дуги низ година. Главни циљ организовањa Форума WEMW, у сарадњи са ФЦС, доноси могућност да продуценти и проjекти из Србиjе који на њему учествују, стекну прилику да усаврше своја стручна знања и вештине, као и да стекну пословне контакте на међународном нивоу. За проjекте коjи су у развоjу отвара се могућност за међународне копродукциjе. На форуму годишње се окупља око 400 филмских професионалаца из целе Европе. ФЦС jе, као основни партнер и покровитељ главне награде заступљен у свим брошурама и програмима.
</t>
  </si>
  <si>
    <t>ПРИКАЗ ПЛАНИРАНИХ РАСХОДА ФЦС У 2023.</t>
  </si>
  <si>
    <t>Фонд за подршку</t>
  </si>
  <si>
    <t>Регионална и прекогранична сарадња са другим десковима</t>
  </si>
  <si>
    <t xml:space="preserve">Организација промотивног догађаја </t>
  </si>
  <si>
    <t>Едукативни догађаји</t>
  </si>
  <si>
    <t xml:space="preserve">Издавање брошуре MEDIA деска Србије: годишња бошура са кратким прегледом свих конкурса који постоје у оквиру MEDIA потпрограма и успешних пројеката из Србије који су подржани од стране MEDIA потпрограма. </t>
  </si>
  <si>
    <t>Лектура и коректура</t>
  </si>
  <si>
    <t>Промотивни материјал (торбе, свеске, оловке, цегери)</t>
  </si>
  <si>
    <t>Брошуре MEDIA деска</t>
  </si>
  <si>
    <t>Смештај за представнике ФЦС</t>
  </si>
  <si>
    <t>700 EUR</t>
  </si>
  <si>
    <t>400 EUR</t>
  </si>
  <si>
    <t>1.000 EUR.</t>
  </si>
  <si>
    <t>Producers on the Move, април-мај 2023.</t>
  </si>
  <si>
    <t>BPX - Best Praktice Exchange основан jе 2012. године, како би се охрабрила размена и сарадња између филмских фондова. Два пута годишње организуjу се (у Берлину и Кану) састанци представника фондова како би разменили идеjе и искуства. У 2022. години организован је састанак током Канског филмског фестивала на коме представљене најбоље праксе филмских фондова у новом, дигиталном окружењу.</t>
  </si>
  <si>
    <t>5.1.</t>
  </si>
  <si>
    <t>5.2.</t>
  </si>
  <si>
    <t>5.3.</t>
  </si>
  <si>
    <t>5.4.</t>
  </si>
  <si>
    <t>5.7.</t>
  </si>
  <si>
    <t>Франуско-српски сусрети на Фестивалу ауторског филма</t>
  </si>
  <si>
    <t>10.000 EUR</t>
  </si>
  <si>
    <t>Путни трошкови за 3 представника ФЦС</t>
  </si>
  <si>
    <t>40.000 RSD x 3 особе</t>
  </si>
  <si>
    <r>
      <t xml:space="preserve">Годишњи програм промоције филмова добитника на конкурсима Филмског центра Србије у биоскопској сали - Сали српског филма. </t>
    </r>
    <r>
      <rPr>
        <b/>
        <sz val="12"/>
        <rFont val="Arial Narrow"/>
        <family val="2"/>
      </rPr>
      <t xml:space="preserve"> </t>
    </r>
  </si>
  <si>
    <t>ТОТАЛ  MEDIA ДЕСК СРБИЈА</t>
  </si>
  <si>
    <t>MEDIA ДЕСК СРБИЈА</t>
  </si>
  <si>
    <t>Израда индеска</t>
  </si>
  <si>
    <t>250.000 РСД</t>
  </si>
  <si>
    <t>Хонорари за ангажоване продавце</t>
  </si>
  <si>
    <t>Тираж:  300</t>
  </si>
  <si>
    <t>Плате, додаци и накнаде запослених</t>
  </si>
  <si>
    <t>800  EUR.</t>
  </si>
  <si>
    <t>MEDIA</t>
  </si>
  <si>
    <t>Учешће у трошковима партнерства са ДокСрбија</t>
  </si>
  <si>
    <t>8.000 EUR</t>
  </si>
  <si>
    <t xml:space="preserve">5.5. </t>
  </si>
  <si>
    <t xml:space="preserve">5.6. </t>
  </si>
  <si>
    <t>5.9.</t>
  </si>
  <si>
    <t>30.000 RSD x 3 особе</t>
  </si>
  <si>
    <t>90 EUR x 3 дана x 3 особе</t>
  </si>
  <si>
    <t>Зграде и грађевински објекти</t>
  </si>
  <si>
    <t>Опрема за саобраћај</t>
  </si>
  <si>
    <t>Опрема за образовање, науку, културу и спорт</t>
  </si>
  <si>
    <t xml:space="preserve">Мрежа киноприказивача </t>
  </si>
  <si>
    <t>600 EUR.</t>
  </si>
  <si>
    <t>700 EUR.</t>
  </si>
  <si>
    <t>300 EUR.</t>
  </si>
  <si>
    <t>15 EUR x 3 дана  x 3 особe</t>
  </si>
  <si>
    <t>Авио карте (Загреб, Љубљана, Трст - 2 авио карате)</t>
  </si>
  <si>
    <t>5.8.</t>
  </si>
  <si>
    <t>ПЛАН И ПРОГРАМ ЗА 2024. ГОДИНУ</t>
  </si>
  <si>
    <t>Средства којима jе омогућена стална подршка нашим ауторима и њиховим филмовима на наступима на међународним фестивалима и пичинг сесијама и радионицама. Намера је овог фонда да буде флексибилан и ефикасан, лако доступан на кратке рокове с обзиром да је немогуће планирати све оне позиве на фестивале и пичинг сесије. Фонд укључује пичинге, награде, путне трошкове, репрезентацију, тренинг и друго и подељен је у основне групе:
- Авионске карте / смештај за редитеља/продуцента (и у изузетним случаjевима неким другим члановима филмске екипе) за  пут на фестивал уколико jе филм у неком од званичних програма: Berlin, Kan, Venecija, Sandens, IDFA (Amsterdam), Peking, Moskva, Toronto, Locarno, Sarajevo, Pula, Thessaloniki, Sofia, Tokio, Shanghai, Busan, Roterdam, Leipzig, San Sebastian, Karlovy Vary, Les Arcs, Dok Lepizig, Warsaw..., као и за учешће на пичинзима и радионицама и копродукциjским маркетима: EAVE, Torino Film Lab, Berlinale Coproduction Market, Cinemart, Sofia Meetings, Toronto Producers Lab, MEDICI, AGORA Meetings Thessaloniki, Les Arcs, MFI Script, Leipzig Dok Copro market, CPH:LAB, IDFA, Lorcarno Step in, EX Oriente, Sundance Scriptwriters Lab, EURODOC, ACE, Erich Prommer Institute courses, First Film First, FILM TEEP (Film Training for East European Professionals), EP2C, Cartoon 360, EFA Master Class, VFX Script to Screen. Такође и авионске карте за стране експерте, селекторе/директоре фестивала, представнике фондова, продуценте и остале филмске професионалце коjи су значаjни за домаће ауторе и српску кинематографиjу уопште. 
- Котизациjа за поменуте радионице
- Пријеми у част српских филмова подразумевају организовање пријема на неком од значајних светских филмских фестивала уколико је филм из Србије ушао у један од званичних програма и сматра се да је неопходно филм додатно подржати
- У случају одржавања неке од радионица у Србији отвара се могућност за довођење експерата који би домаћим филмским профестионалцима омогућили посебне тренинге и ускостручна саветовања. 
- Поред филмских маркета у Берлину и Кану, ФЦС унапређуjе учешће аутора на маркетима филмских проjеката и филмским форумима у оквиру филмских фестивала. Поред продуцента и редитеља, маркети проjеката одлична су платформа за партнерске односе ФЦС са сродним институциjама, као и са иностраним ауторима проjеката коjима се представља конкурс ФЦС за мањинске копродукциjе и начини аплицирања.</t>
  </si>
  <si>
    <t xml:space="preserve">Организација догађаја </t>
  </si>
  <si>
    <t xml:space="preserve">Мрежни догађаји, награде и остале услуге из области културе </t>
  </si>
  <si>
    <t>100 x 2 особе х 3 дана</t>
  </si>
  <si>
    <t>Авио превоз 2  представника ФЦС-а</t>
  </si>
  <si>
    <t>30.000 RSD x 2 члана ФЦС</t>
  </si>
  <si>
    <t>Берлинале је уз Фестивал у Кану и Венецији најзначајнији филмски фестивал на свету. Маркет Берлинског фестивала jе циљ и циљана група за све произвођаче, купце и промотере филмова. С обзиром на значаj представљања у Берлину и чињеницу да jе део трошкова покривен плаћањима у претходној години по моделу Early Bird, током јануара 2024. треба платити заостале обавезе, а током септембра 2024. треба платити обавезе за организациjу учешћа на Маркету 2025.</t>
  </si>
  <si>
    <t>II део трошкова за Маркет  2024, јануар 2024.</t>
  </si>
  <si>
    <t>Организација догађаја</t>
  </si>
  <si>
    <t>3.000 EUR</t>
  </si>
  <si>
    <t>I део трошкова за Маркет 2025, септембар 2024.</t>
  </si>
  <si>
    <t>Штанд и најам опреме за штанд</t>
  </si>
  <si>
    <t>70.000 RSD * 6 особа</t>
  </si>
  <si>
    <t>15 EUR * 6 особa  * 8 дана</t>
  </si>
  <si>
    <t>Маркет у Кану је, традиционално, најзначајније место за промоцију кинематографије. Наредно издање овог фестивала је изузетна прилика да се крунишу напори који су учињени током 2023. и представе сви они филмови који су већ побрали велику пажњу међународне и домаће јавности као и филмови који још увек нису имали светску премијеру. Већ етаблирани регионални штанд у Кану jе идеална позициjа за промоциjу српског филма.</t>
  </si>
  <si>
    <t>15.000 EUR</t>
  </si>
  <si>
    <t>500 EUR</t>
  </si>
  <si>
    <t>60.000 RSD</t>
  </si>
  <si>
    <t>300.000 RSD</t>
  </si>
  <si>
    <t>15 EUR х 8 дана x 8 особa</t>
  </si>
  <si>
    <t>Путни трошкови - 8 авионских карата</t>
  </si>
  <si>
    <t>80.000 RSD x 8 особа</t>
  </si>
  <si>
    <t>17.000 RSD  x 6 особа</t>
  </si>
  <si>
    <t>3000 EUR</t>
  </si>
  <si>
    <t>2.000.000 RSD</t>
  </si>
  <si>
    <t>ReActing as a Star</t>
  </si>
  <si>
    <t xml:space="preserve">На иницијативу Словеначког филмског центра основан је нови међународни програм  “ReActing as a Star” посвећен подстицању умрежавању филмских и аудиовизуелних глумаца у региону и повећање њиховог присуства у еврпској филмској индустрији. Прво издање овог програма одржано у оквиру другог издања  Krafft Actors Film у оквиру другог издања Фестивала у Крању (Словенија) Како би повећао видљивост глумаца из региона и проширо огућност њиховог учешћа у међународној филмској индустрији, Словеначки фиилсмки центар, у сарадњи са Сарајево Филм фестивалом, Међународном мрежом  Casting Directors Netvork (ICDN) и партнерским филским центрима из Србије, Хрватске, Северне Македноје и Црне и Горе, успоставио је професионалну платформуу којој су учествовали глумци из региона. Првом издању присуствовали су српски глумци Катарина Марковић, Петар Бенчина и Милена Божић.   </t>
  </si>
  <si>
    <t>7.000 EUR</t>
  </si>
  <si>
    <t xml:space="preserve"> У оквиру Фестивала ауторског филма, планирани су Француско-српски филмски сусрети, у организациjи Филмског центра Србиjе, Француског института, МЦФ MegaCom Филма и Удружења за промоциjу независног филма АЦИД уз подршку Министарства културе Републике Србиjе. Француско-српски филмски сусрети представљју манифестацију од значаја за унапређење међународне сарадње у области кинематографије и  повећање броја билатералних копродукција између Републике Србије и Републике Француске, као и умрежавање са домаћим ауторима. Програм сусрета jе заснован на панелима, мастеркласовима и стручним састанцима на тему филмске индустриjе. Током наредног издања велики део програма биће намењен студентима и младим филмским професионалцима у виду броjних мастеркласова о различитим филмским занимањима.</t>
  </si>
  <si>
    <t>Партнерство</t>
  </si>
  <si>
    <t>Дани српског филма у Пули, у сарадњи са Српским културним центром</t>
  </si>
  <si>
    <t>15 EUR х 4 дана х 3 особе</t>
  </si>
  <si>
    <t>Као и сваке године, једно од стратешки важних тачака за промоцију српског филма је Сарајево филм фестивал. Филмови из Србије су у виће наврата последњих пет година побеђивали, пројекти из Србије добијали су подршку на CineLinku, десетине младих сваке године учествује на Saraјevo Talent Campusu... Осим учешћа у индустријском делу Фестивала представника ФЦС и подршке филмовима у програмима Фестивала, ФЦС спонзорише награду за најбољи пројекат на CineLinku.</t>
  </si>
  <si>
    <t>15 EUR x 4 дана x 5 особа</t>
  </si>
  <si>
    <t>1.000.000 РСД</t>
  </si>
  <si>
    <t>У оквиру ИДФА - Међународног фестивала документарног филма у Амстердаму, коjи jе jедан од наjвећих и наjважниjих фестивала документарног филма на свету, ФЦС планира представљање српских документарних филмова, имајући у виду веома позитивно искуство из претходних година. Такође, имаjући у виду да класичан маркет не постоjи и да продуценти самостално врше промоциjу у оквиру програма "Docs for Sale".</t>
  </si>
  <si>
    <t>500 ЕUR x 5 особе</t>
  </si>
  <si>
    <t>Путни трошкови (2 представника ФЦС и представник документариста + 2 продуцента)</t>
  </si>
  <si>
    <t>45.000 RSD x 5 особа</t>
  </si>
  <si>
    <t>250 EUR x 5 особа x 3 ноћења</t>
  </si>
  <si>
    <t>15 EUR x 2 особе x 4 дана</t>
  </si>
  <si>
    <t>SERBIAN WORKS IN PROGRESS</t>
  </si>
  <si>
    <t>Serbian works in progress jе платформа за међународну промоциjу домаћих филмова.
Идеjа jе да се сваке године угосте у Србиjи селектори великих светских фестивала (Кан, Венециjа, Берлин, Локарно, Ротердам, Санденс, Сан Себастиjан, Карлови Вари и др.). Они би се том приликом упознали са новим српским филмовима, коjи су у завршноj фази реализациjе. Циљ ове активности jе повећање видљивости и присуства српског филма на међународним фестивалима. Броj филмова коjи би гости гледали зависио би од продукциjе те године. У зависности од броjа, и фазе у коjоj се филмови налазе, пуштали би се цели филмови или првих 20-так минута, уколико нису jош завршени али су у одмаклоj фази пост-продукциjе. Програм би укључивао и дугометражне игране и документарне филмове. Поред проjекциjа, за госте би биле организоване и друге активности коjе укључуjу интеракциjу са домаћом индустриjом (панел дискусиjе и неформална "дружења" у виду коктела / вечера) али и обилазак Београда или других знаменитости. Веома jе важно да гости боље упознаjу контекст у ком наши филмови настаjу и људе коjи их производе.</t>
  </si>
  <si>
    <t>10 гостију х 500 EUR</t>
  </si>
  <si>
    <t>Хотелски смештај</t>
  </si>
  <si>
    <t>10 гостију х 3 ноћења х 130  EUR</t>
  </si>
  <si>
    <t>Трансфери од / до аеродрома</t>
  </si>
  <si>
    <t>400  EUR</t>
  </si>
  <si>
    <t xml:space="preserve">Оброци </t>
  </si>
  <si>
    <t>10 гостију х 4 дана х 2 оброка х 30  EUR</t>
  </si>
  <si>
    <t xml:space="preserve">Коктел добродошлице </t>
  </si>
  <si>
    <t>1.000  EUR</t>
  </si>
  <si>
    <t xml:space="preserve">Координатор пројекта </t>
  </si>
  <si>
    <t>2.000  EUR</t>
  </si>
  <si>
    <t xml:space="preserve">Асистент координатора пројекта </t>
  </si>
  <si>
    <t>500  EUR</t>
  </si>
  <si>
    <t>5.000 EUR</t>
  </si>
  <si>
    <t>REACT је заједничка развојна иницијатива (Италија, Словенија, Хрватска) коју је 2015. године покренуо италијански ФВГ аудиовизуелни фонд. Главни циљ је подстицање међународне копродукције у региону кроз две различите и комплементарне фазе: 1) платформа за обуку у којој професионалци могу развити своје пројекте и упознати потенцијалне копродуценте; 2) шема за финансирање заједничког развоја пројеката, која подразумева подршку дугометражних играних, документарних и анимараних филмова у копродукцији са најмање две земље које учествују у REACT -у. Од 2019. године Србија је уз Словенију, Италију и Хрватску пуноправни члан REACT-а и самим тим српски филмски професионалци су сада у прилици да похађаjу броjне REACT радионице и да се приjављуjу за програм копродукционог финансирања у склопу поменуте инциjативе. ФЦС би сносио трошкове транспорта за учеснике из Србије, а сами учесници би сносили трошкове смештаја. До сада је шест српских филмова добило подршку за развој.</t>
  </si>
  <si>
    <t>40.000 EUR</t>
  </si>
  <si>
    <t>40.000 RSD х 2 особе</t>
  </si>
  <si>
    <t>Авио карта за представника ФЦС</t>
  </si>
  <si>
    <t>50.000 RSD</t>
  </si>
  <si>
    <t>Смештај за представника ФЦС</t>
  </si>
  <si>
    <t>800 EUR</t>
  </si>
  <si>
    <t>125 EUR x 2 дана</t>
  </si>
  <si>
    <t>15 ЕUR x 2 дана</t>
  </si>
  <si>
    <t xml:space="preserve">Циљ MEDIA деска јесте да пружи подршку представницима аудиовизуелног и мултимедијалног сектора који желе да обезбеде учешће у потпрограму MEDIA. Потпрограм MEDIA у оквиру програма Кретивна Европа подстиче развој европског аудиовизуелног и мултимедијалног сектора, дајући подршку: развоју, дистрибуцији и промоцији европских играних, анимираних и документарних филмова и телевизијских серија, развоју и промоцији нових медијских садржаја, стручном усавршавању филмских професионалаца, развоју нових технологија и платформи за дистрибуцију аудиовизуелног садржаја, филмским фестивалима и развоју публике.
Кроз консултације, јавне догађаје и едукативне и мрежне активности које организује, MEDIA деск информише о могућностима које пружа MEDIA потпрограм и пружа подршку и савете за конкурисање. Сви догађаји који се планирају у раду деска током 2024. године треба да допринесу развоју аудиовизуелног сектора у Србији са једне стране и промоцији потпрограма MEDIA са друге. Задатак MEDIA деска јесте да промовише потпрограм MEDIA као јединствену прилику за финансиранје развоја аудиовизуелног сектора у земљама чланицама кроз организацију сопствених иницијатива као што су семинари, радионице, инфо дани и тренинзи, промовише, подржава и чествује уи прекограничној сарадњи, али и да учествује у догађајима и активностима који су на међународном нивоу организовани од стране EACEA  и DG CNECT .
Циљеви MEDIA потпрограма су:
- Јачање европског аудиовизуелног и мултимедијалног сектора наглашавајући европски идентитет, наслеђе и културну разноликост;
- Већа присутност европских аудиовизуелних дела на међународном тржишту;
- Јачање и подстицање иновативности и конкурентности европског аудиовизуелног сектора.
Финансирање је доступно у неколико категорија које обухватају: подршку продуцентима за развој иновативних и конкурентних пројеката из области филма, ТВ програма и видео игара, подршку дистрибуцији европских аудиовизуелних дела, развој публике и професионално усавршавање и умрежавање.
У 2024. години MEDIA деск Србије планира да, поред уобичајних активности које подразумевају континуирану пружање информација о MEDIA потпрограму и конкурсима који постоје у оквиру MEDIA потпрограма и асистирања у развоју апликација, организује и инфо дане,  едукативне програме и семинаре који ће бити фокусирани на специфичне проблеме филмске индустрије и аудиовизуелног сектора у Србији и учествује на домаћим, регионалним и интернационалним филмским фестивалима.продаjе и дистрибуциjе, сценариjа, камере, звука, дизаjна сценографиjе, нових технологиjа и анимациjе. </t>
  </si>
  <si>
    <t>Хонорари</t>
  </si>
  <si>
    <t>Хонорар преводиоца сајта и материјала Медиа деска</t>
  </si>
  <si>
    <t>30.000 RSD x 2 месецa</t>
  </si>
  <si>
    <t>Дизајн визуалних материјала Медиа деска</t>
  </si>
  <si>
    <t>80.000 RSD x 1 месец</t>
  </si>
  <si>
    <t>Хонорар администратора друштвених мрежа Медиа деска</t>
  </si>
  <si>
    <t>40.000 RSD x 12 месецa</t>
  </si>
  <si>
    <t>Хонорар администратора веб сајта - секција Медиа деска</t>
  </si>
  <si>
    <t>30.000 RSD x 6 месецa</t>
  </si>
  <si>
    <t xml:space="preserve">Организација 3 догађаји у сарадњи са регионалним МЕДИА Деск-овима </t>
  </si>
  <si>
    <t xml:space="preserve">Дневнице (2 особа x 3 дана x 3 догађаја ) </t>
  </si>
  <si>
    <t>2.500 RSD х 3 дана х 2 особа х 3 путовања</t>
  </si>
  <si>
    <t>Хотелски смештај  (2 особа x 2 ноћења х 3 догађаја)</t>
  </si>
  <si>
    <t>12.000 RSD х 2 особе  х 2 ноћења x 3 путовања</t>
  </si>
  <si>
    <t>70.000 RSD x 3 промотивна догађаја</t>
  </si>
  <si>
    <t>Организација семинара и радионице о имплементацији зелене агенде у аудио визуелном сектору. Представљање примера  добре праксе у Европи и у Србији. Мастерклас  и тренинг о визуелним ефектима у индустрији видео игара у сарадњи са факултетима који у курикулуму имају смерове развоја и  дизајна видео игара</t>
  </si>
  <si>
    <t>Путни трошкови предавача и учесника програма</t>
  </si>
  <si>
    <t>2 авио карте 45.000 RSD  х превоз у земљи 2 х комбијем 10 особа</t>
  </si>
  <si>
    <t>Хотелски смештај за предаваче семинара (3 особе х 3 ноћења)</t>
  </si>
  <si>
    <t>10.000 RSD  x 3  ноћења х 3 особе</t>
  </si>
  <si>
    <t>Хонорари предавача</t>
  </si>
  <si>
    <t>80.000 RSD х 3 особе</t>
  </si>
  <si>
    <t>Пријем - мрежни догађаји Медиа деска</t>
  </si>
  <si>
    <t>120.000 RSD</t>
  </si>
  <si>
    <t xml:space="preserve">Дизајн </t>
  </si>
  <si>
    <t xml:space="preserve">Штампа </t>
  </si>
  <si>
    <t>Промоција и представљање MEDIA деска</t>
  </si>
  <si>
    <t xml:space="preserve">Промоција MEDIA деска обухвата неколико активности: израда промотивних материјала, рекламирање MEDIA потпрограма и MEDIA деска у каталозима домаћих филмских фестивала, рекламирање, организација 3 промотивна догађаја </t>
  </si>
  <si>
    <t>200.000 RSD</t>
  </si>
  <si>
    <t>Рекламирање у каталозима филмских фестивала, платформама</t>
  </si>
  <si>
    <t>60.000. RSD</t>
  </si>
  <si>
    <t xml:space="preserve">3 промотивна догађаја на домаћим фестивалима и састанцима тет-а-тет </t>
  </si>
  <si>
    <t>60.000 RSD x 3 промотивна догађаја</t>
  </si>
  <si>
    <t>Кампања повећања видљивости програма Креативна Европа (интервјуи, видео клип)</t>
  </si>
  <si>
    <t>40.000 RSD</t>
  </si>
  <si>
    <t>30.000 RSD</t>
  </si>
  <si>
    <t xml:space="preserve">ИЗДАВАШТВО - план и програм 2024. </t>
  </si>
  <si>
    <t>Иван Карл</t>
  </si>
  <si>
    <t>БЕОГРАДСКИ МЕЂУНАРОДНИ САЈАМ КЊИГА 2024.</t>
  </si>
  <si>
    <t>Филмски центар Србиjе  и струковно удружење документариста, ДокСрбиjа организуjу два пута годишње едукативне радионице за подизање капацитета у области продукциjе документарних филмова. Радионице су фокусиране на писање и “паковање” проjеката документарних филмова, jеднако за домаће и међународне конкурсе, као и за пласман на интернационалним маркетима.</t>
  </si>
  <si>
    <t>Одржавање радионица за преквалификацију и дошколовавање дефицитарних кадрова у кинематографији</t>
  </si>
  <si>
    <t xml:space="preserve">Израда плана и програма три недеље радионица за занимање по секторима и предавачи </t>
  </si>
  <si>
    <t>Филмски центар Србије подстакао је мале приказиваче да се удруже у независну биоскопску мрежу како би заједнички развијали филмску културу широм Србије. У 2024. ФЦС жели да учествује у даљем ширењу независне биоскопске мреже и професионалном усавршавању филмских уредника и кинооператера у независној биоскопској мрежи, што је логичан наставак дигитализацији биоскопа широм Србије.</t>
  </si>
  <si>
    <t xml:space="preserve">Филмски центар Србије има за циљ да очува и заштити неке од најпознатијих наслова домаће кинематографије и да их учини видљивијим широј публици у одговарајућем квалитету. Филмски центар Србије завршио је попис и документацију свих материјалних добара и докумената у својим магацинима и сматрамо да би било неопходно сачувати одређене снимке и документе, од којих су већина из краја 70-их и 80-их. Такође неопходна је дигитализација Годишњака ради лакшег сналажења и проналажења материјала. </t>
  </si>
  <si>
    <t>Дигитализација, обрада, припрема филмских плаката и постера период 1990-1999</t>
  </si>
  <si>
    <t xml:space="preserve">”Марко Глушац” наградa се додељује најперспективнијем млађем монтажеру дугих и кратких, играних и документарних форми.
То признање већ осму годину за редом додељује Фондација "Марко Глушац", коју су основали редитељи, продуценти, монтажери и пријатељи, људи који су сарађивали са Марком, једним од наших највећих филмских монтажера. </t>
  </si>
  <si>
    <t xml:space="preserve">Пројекат који је Европска филмска академија (ЕФА) лансирала 2011. а који је први пут остварен 2012. у шест европских градова, у коме је учествоваво и ФЦС својеврстан је образовно васпитни полигон за привлачење најмлађих филму, уметности и забави. ФЦС са Филмским фестивалом Слободна зона организуjе оваj целодневни програм у новембру 2024. </t>
  </si>
  <si>
    <t>Подршка домаћим филмским фестивалима</t>
  </si>
  <si>
    <t xml:space="preserve">С обзиром на све већи број домаћих фестивала, а са циљем промоције домаћег филма и усавршавања филмских радника, Филмски центар Србије опредељује подршку домаћим филмским фестивалима за потребе организације, одржавање стручних радионица и предавања, доделу награда, доласка предавача и гостију фестивала. Одређен број домаћих фестивала је схватио значај професионалног сектора фестивала и уз подршку ФЦС оргранизова радионице, предавања, представљање пројеката... </t>
  </si>
  <si>
    <t xml:space="preserve">Подршка организацији </t>
  </si>
  <si>
    <t xml:space="preserve">Подршка "industry" сектору </t>
  </si>
  <si>
    <t xml:space="preserve">Имајући у виду да је у данашње време такозвани "industry" сектор неодвојиви део сваког важнијег филмског фестивала, идеја је да се овај сектор подржи како у оперативном, тако и у финансијском смислу. Поштујући конкурс Министарства културе за подршку фестивалима, ФЦС би се искључиво усмерио на подршку организацији копродукцијских маркета, креативних и едукативних радионица, предавања, професионалних састанака и умрежавања. Постојање квалитеног "industry" сектора, значи присуство већег броја филмских професионалаца из Европе и света и самим тим се пружа могућност домаћим филмским професионалцима за бољим и квалитетнијим умрежавањем и отварају се врата за нове копродукције, европску или светску дистрибуцију, учешће на међународним фестивалима што све наравно продразумева промоцију српског филма и филмске индустрије. </t>
  </si>
  <si>
    <t>Сала српског филма</t>
  </si>
  <si>
    <t>Интеракција 2024</t>
  </si>
  <si>
    <t>Пројекат Интеракција подразумева одржавање студентског филмског кампа, фестивал кратког документарног филма, радионице за документарни филм и програма Meet2talk. Овај програм  је намењен студентима филмских академија и подразумева продукцију кратких документрних филмова. Програм се реализује од 2006. године у циљу промовисања кратког документарног филма међу младима – студентима филмских академија, као и подстицања њиховог умрежавања и размене знања и искуства кроз рад у мултинационалним екипама.</t>
  </si>
  <si>
    <t>КОНКУРСИ - План и програм  2024.</t>
  </si>
  <si>
    <t xml:space="preserve">Суфинансирање производње домаћих дугометражних играних филмова </t>
  </si>
  <si>
    <t>Суфинансирање производње домаћих дугометражних дебитантских играних филмова- први и други филм редитеља</t>
  </si>
  <si>
    <t>Суфинансирање производње домаћих дугометражних играних филмова за децу и омладину</t>
  </si>
  <si>
    <t>Суфинансирање производње домаћих  документарних филмова</t>
  </si>
  <si>
    <t>Финансирање унапређења и развоја филмских сценариjа</t>
  </si>
  <si>
    <t>Суфинансирање развоја пројеката домаћих дугометражних играних и документарних филмова</t>
  </si>
  <si>
    <t>Суфинансирање развоја пројеката домаћих дугометражних анимираних филмова</t>
  </si>
  <si>
    <t>Суфинансирање производње домаћих краткометражних играних филмова</t>
  </si>
  <si>
    <t>Суфинансирање производње домаћих краткометражних анимираних филмова</t>
  </si>
  <si>
    <t>Суфинансирање производње домаћих експерименталних филмова и видео арта</t>
  </si>
  <si>
    <t>Суфинансирање производње мањинских копродукција</t>
  </si>
  <si>
    <t>Суфинансирање производње студентских завршних филмова</t>
  </si>
  <si>
    <t>Администрирање конкурса (конкурсне комисије, 
комисија за правдање средстава, супервизор продукције документарних филмова, супервизор 
продукције играних филмова, оглашавање текста конкурса у дневној штампи, правне услуге)</t>
  </si>
  <si>
    <t>Репрограмирање дуговања из претходних година</t>
  </si>
  <si>
    <t>ПРИКАЗ ПЛАНИРАНИХ РАСХОДА ФЦС У 2024.</t>
  </si>
  <si>
    <t>MEDIA Деск Србија</t>
  </si>
  <si>
    <t>Тираж: 300 страна</t>
  </si>
  <si>
    <t>Бранко Вучићевић: ЦЕЛОКУПНА ДЕЛА  6</t>
  </si>
  <si>
    <t>Тираж: 300</t>
  </si>
  <si>
    <t>3200 EUR.</t>
  </si>
  <si>
    <t>Синиша Драгин: ШАМАСКИ РЕЧНИК ЗА ФИЛМОФИЛЕ</t>
  </si>
  <si>
    <t>400 EUR.</t>
  </si>
  <si>
    <t>Саша Радојевић:  СРПСКИ ФИЛМ - ШЕЗДЕСЕТЕ ГОДИНЕ</t>
  </si>
  <si>
    <t>Скенирање визуелних материјала</t>
  </si>
  <si>
    <t>Слободан Шијан:  У ОГЛЕДАЛУ КРИТИКЕ (у сарадњи са САНУ)</t>
  </si>
  <si>
    <t>Скенирање материјала</t>
  </si>
  <si>
    <t>Александар С. Јанковић: МИЛУТИН ПЕТРОВИЋ</t>
  </si>
  <si>
    <t>Властимир Судар: САША ПЕТРОВИЋ - 2. ИЗДАЊЕ</t>
  </si>
  <si>
    <t xml:space="preserve">Тираж: 300 </t>
  </si>
  <si>
    <t>3300 EUR.</t>
  </si>
  <si>
    <t>1600 EUR.</t>
  </si>
  <si>
    <t>1500000  RSD</t>
  </si>
  <si>
    <t>Џозеф Мек Брајд: БИОГРАФИЈА СТИВЕНА СПИЛБЕРГА или Maria Sanchez Arce: THE CINEMA OF PEDRO ALMODOVAR</t>
  </si>
  <si>
    <t>в.д директора Филмског центра Србиjе</t>
  </si>
  <si>
    <t>Филмски центар Србије током 2024. године намерава да распише конкурсе у 22 конкурснe категоријe. Конкурси за суфинансирање производње домаћих дугометражних, домаћих документарних и производњу мањинских копродукција биће расписани два пута у току године, сви остали конкурси биће расписани само једном годишње.  Начин финансирања дугометражних играних филмова подразумева вишегодишње планирање средстава, те из тог разлога постоји посебна позиција за дуговања из које се исплаћују средства за догометражне игране филмове који улазе у продукцију у 2024. години. Укупна средства намењена за финансирање пројеката у  2024. години износе 855 милиона динара. Износ од нешто више од 181 милион динара намењен за репрограмирање дуговања из претходних година.</t>
  </si>
  <si>
    <t xml:space="preserve">Стимулација самостално снимљеног домаћег дугометражног филма </t>
  </si>
  <si>
    <t>Стимулациjе (учествовања домаћих филмова на иностраним фестивалима биоскопског приказивања домаћих филмова, гледаности домаћих филмова и дистрибуције домаћих филмова</t>
  </si>
  <si>
    <t>3.12.</t>
  </si>
  <si>
    <t>Дигитализација филмова</t>
  </si>
  <si>
    <t>Дигитализација филмова" ради дигитализације наслова на основу претходно формиране јединствене базе података домаћих филмова Филмског центра Србије.</t>
  </si>
  <si>
    <t>5.10.</t>
  </si>
  <si>
    <t>МОНОГРАФИЈА О ПУРИШИ ЂОРЂЕВИЋУ</t>
  </si>
  <si>
    <t>5.11.</t>
  </si>
  <si>
    <t>Реализација трошкова</t>
  </si>
  <si>
    <t>МОНОГРАФИЈА О ЖАРКУ ЛАУШЕВИЋУ</t>
  </si>
  <si>
    <t xml:space="preserve">Реализација трошкова </t>
  </si>
  <si>
    <t>160.000 RSD.</t>
  </si>
  <si>
    <t>Дуговања 2022</t>
  </si>
  <si>
    <t>У Београду, 14.11.2024.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</si>
</sst>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00_);_(* \(#,##0.00\);_(* &quot;-&quot;??_);_(@_)"/>
    <numFmt numFmtId="165" formatCode="#,##0\ &quot;RSD&quot;_);[Red]\(#,##0\ &quot;RSD&quot;\)"/>
  </numFmts>
  <fonts count="21" x14ac:knownFonts="1">
    <font>
      <sz val="12"/>
      <color theme="1"/>
      <name val="Calibri"/>
      <family val="2"/>
      <charset val="238"/>
      <scheme val="minor"/>
    </font>
    <font>
      <u/>
      <sz val="12"/>
      <color theme="10"/>
      <name val="Calibri"/>
      <family val="2"/>
      <scheme val="minor"/>
    </font>
    <font>
      <u/>
      <sz val="12"/>
      <color theme="11"/>
      <name val="Calibri"/>
      <family val="2"/>
      <scheme val="minor"/>
    </font>
    <font>
      <sz val="8"/>
      <name val="Calibri"/>
      <family val="2"/>
      <scheme val="minor"/>
    </font>
    <font>
      <sz val="12"/>
      <name val="Arial Narrow"/>
      <family val="2"/>
    </font>
    <font>
      <b/>
      <sz val="12"/>
      <name val="Arial Narrow"/>
      <family val="2"/>
    </font>
    <font>
      <sz val="12"/>
      <color theme="1"/>
      <name val="Calibri"/>
      <family val="2"/>
      <scheme val="minor"/>
    </font>
    <font>
      <sz val="10"/>
      <name val="Arial"/>
      <family val="2"/>
    </font>
    <font>
      <sz val="12"/>
      <color rgb="FF9C0006"/>
      <name val="Calibri"/>
      <family val="2"/>
      <scheme val="minor"/>
    </font>
    <font>
      <sz val="12"/>
      <name val="Calibri"/>
      <family val="2"/>
      <scheme val="minor"/>
    </font>
    <font>
      <b/>
      <sz val="12"/>
      <color rgb="FFFF0000"/>
      <name val="Arial Narrow"/>
      <family val="2"/>
    </font>
    <font>
      <sz val="12"/>
      <color rgb="FFFF0000"/>
      <name val="Arial Narrow"/>
      <family val="2"/>
    </font>
    <font>
      <sz val="12"/>
      <color theme="1"/>
      <name val="Arial Narrow"/>
      <family val="2"/>
    </font>
    <font>
      <b/>
      <sz val="12"/>
      <name val="Calibri"/>
      <family val="2"/>
      <scheme val="minor"/>
    </font>
    <font>
      <b/>
      <sz val="12"/>
      <color rgb="FF0070C0"/>
      <name val="Arial Narrow"/>
      <family val="2"/>
    </font>
    <font>
      <sz val="12"/>
      <name val="Calibri"/>
      <family val="2"/>
      <charset val="238"/>
      <scheme val="minor"/>
    </font>
    <font>
      <sz val="12"/>
      <color rgb="FF0070C0"/>
      <name val="Arial Narrow"/>
      <family val="2"/>
    </font>
    <font>
      <b/>
      <sz val="12"/>
      <name val="Calibri"/>
      <family val="2"/>
      <charset val="238"/>
      <scheme val="minor"/>
    </font>
    <font>
      <b/>
      <sz val="12"/>
      <color theme="1"/>
      <name val="Arial Narrow"/>
      <family val="2"/>
    </font>
    <font>
      <sz val="12"/>
      <color theme="9" tint="-0.249977111117893"/>
      <name val="Arial Narrow"/>
      <family val="2"/>
    </font>
    <font>
      <b/>
      <sz val="12"/>
      <color theme="9" tint="-0.249977111117893"/>
      <name val="Arial Narrow"/>
      <family val="2"/>
    </font>
  </fonts>
  <fills count="10">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499984740745262"/>
        <bgColor indexed="64"/>
      </patternFill>
    </fill>
    <fill>
      <patternFill patternType="solid">
        <fgColor rgb="FFFFC7CE"/>
      </patternFill>
    </fill>
    <fill>
      <patternFill patternType="solid">
        <fgColor theme="0"/>
        <bgColor indexed="64"/>
      </patternFill>
    </fill>
    <fill>
      <patternFill patternType="solid">
        <fgColor theme="0" tint="-0.14999847407452621"/>
        <bgColor indexed="64"/>
      </patternFill>
    </fill>
    <fill>
      <patternFill patternType="solid">
        <fgColor theme="0"/>
        <bgColor rgb="FF000000"/>
      </patternFill>
    </fill>
    <fill>
      <patternFill patternType="solid">
        <fgColor rgb="FFC0C0C0"/>
        <bgColor indexed="64"/>
      </patternFill>
    </fill>
  </fills>
  <borders count="6">
    <border>
      <left/>
      <right/>
      <top/>
      <bottom/>
      <diagonal/>
    </border>
    <border>
      <left/>
      <right/>
      <top style="hair">
        <color auto="1"/>
      </top>
      <bottom style="hair">
        <color auto="1"/>
      </bottom>
      <diagonal/>
    </border>
    <border>
      <left/>
      <right/>
      <top/>
      <bottom style="hair">
        <color auto="1"/>
      </bottom>
      <diagonal/>
    </border>
    <border>
      <left/>
      <right/>
      <top style="hair">
        <color auto="1"/>
      </top>
      <bottom/>
      <diagonal/>
    </border>
    <border>
      <left style="hair">
        <color auto="1"/>
      </left>
      <right/>
      <top style="hair">
        <color auto="1"/>
      </top>
      <bottom style="hair">
        <color auto="1"/>
      </bottom>
      <diagonal/>
    </border>
    <border>
      <left/>
      <right style="hair">
        <color auto="1"/>
      </right>
      <top style="hair">
        <color auto="1"/>
      </top>
      <bottom style="hair">
        <color auto="1"/>
      </bottom>
      <diagonal/>
    </border>
  </borders>
  <cellStyleXfs count="954">
    <xf numFmtId="0" fontId="0" fillId="0" borderId="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164" fontId="6" fillId="0" borderId="0" applyFont="0" applyFill="0" applyBorder="0" applyAlignment="0" applyProtection="0"/>
    <xf numFmtId="0" fontId="7" fillId="0" borderId="0"/>
    <xf numFmtId="0" fontId="7" fillId="0" borderId="0"/>
    <xf numFmtId="0" fontId="8" fillId="5" borderId="0" applyNumberFormat="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cellStyleXfs>
  <cellXfs count="222">
    <xf numFmtId="0" fontId="0" fillId="0" borderId="0" xfId="0"/>
    <xf numFmtId="0" fontId="4" fillId="0" borderId="0" xfId="0" applyFont="1"/>
    <xf numFmtId="0" fontId="4" fillId="6" borderId="0" xfId="0" applyFont="1" applyFill="1"/>
    <xf numFmtId="0" fontId="4" fillId="3" borderId="0" xfId="0" applyFont="1" applyFill="1"/>
    <xf numFmtId="0" fontId="5" fillId="0" borderId="1" xfId="0" applyFont="1" applyBorder="1"/>
    <xf numFmtId="4" fontId="4" fillId="0" borderId="1" xfId="0" applyNumberFormat="1" applyFont="1" applyBorder="1" applyAlignment="1">
      <alignment horizontal="left"/>
    </xf>
    <xf numFmtId="0" fontId="4" fillId="0" borderId="1" xfId="0" applyFont="1" applyBorder="1"/>
    <xf numFmtId="4" fontId="5" fillId="0" borderId="1" xfId="0" applyNumberFormat="1" applyFont="1" applyBorder="1" applyAlignment="1">
      <alignment horizontal="right"/>
    </xf>
    <xf numFmtId="0" fontId="5" fillId="0" borderId="1" xfId="0" applyFont="1" applyBorder="1" applyAlignment="1">
      <alignment horizontal="left" vertical="center"/>
    </xf>
    <xf numFmtId="4" fontId="5" fillId="0" borderId="1" xfId="0" applyNumberFormat="1" applyFont="1" applyBorder="1"/>
    <xf numFmtId="0" fontId="5" fillId="3" borderId="1" xfId="0" applyFont="1" applyFill="1" applyBorder="1" applyAlignment="1">
      <alignment horizontal="left" vertical="center"/>
    </xf>
    <xf numFmtId="4" fontId="5" fillId="3" borderId="1" xfId="0" applyNumberFormat="1" applyFont="1" applyFill="1" applyBorder="1"/>
    <xf numFmtId="0" fontId="4" fillId="0" borderId="1" xfId="0" applyFont="1" applyBorder="1" applyAlignment="1">
      <alignment wrapText="1"/>
    </xf>
    <xf numFmtId="4" fontId="4" fillId="0" borderId="1" xfId="0" applyNumberFormat="1" applyFont="1" applyBorder="1" applyAlignment="1">
      <alignment horizontal="right" vertical="center" wrapText="1"/>
    </xf>
    <xf numFmtId="3" fontId="4" fillId="0" borderId="1" xfId="0" applyNumberFormat="1" applyFont="1" applyBorder="1" applyAlignment="1">
      <alignment wrapText="1"/>
    </xf>
    <xf numFmtId="0" fontId="4" fillId="0" borderId="1" xfId="0" applyFont="1" applyBorder="1" applyAlignment="1">
      <alignment vertical="center" wrapText="1"/>
    </xf>
    <xf numFmtId="0" fontId="5" fillId="0" borderId="1" xfId="0" applyFont="1" applyBorder="1" applyAlignment="1">
      <alignment horizontal="right" vertical="center"/>
    </xf>
    <xf numFmtId="4" fontId="5" fillId="0" borderId="1" xfId="0" applyNumberFormat="1" applyFont="1" applyBorder="1" applyAlignment="1">
      <alignment horizontal="right" vertical="center" wrapText="1"/>
    </xf>
    <xf numFmtId="0" fontId="5" fillId="2" borderId="1" xfId="0" applyFont="1" applyFill="1" applyBorder="1" applyAlignment="1">
      <alignment horizontal="right" vertical="center" wrapText="1"/>
    </xf>
    <xf numFmtId="0" fontId="5" fillId="2" borderId="1" xfId="0" applyFont="1" applyFill="1" applyBorder="1" applyAlignment="1">
      <alignment vertical="center" wrapText="1"/>
    </xf>
    <xf numFmtId="4" fontId="4" fillId="2" borderId="1" xfId="0" applyNumberFormat="1" applyFont="1" applyFill="1" applyBorder="1" applyAlignment="1">
      <alignment vertical="center"/>
    </xf>
    <xf numFmtId="4" fontId="5" fillId="2" borderId="1" xfId="0" applyNumberFormat="1" applyFont="1" applyFill="1" applyBorder="1" applyAlignment="1">
      <alignment vertical="center" wrapText="1"/>
    </xf>
    <xf numFmtId="0" fontId="5" fillId="4" borderId="1" xfId="0" applyFont="1" applyFill="1" applyBorder="1" applyAlignment="1">
      <alignment horizontal="right" wrapText="1"/>
    </xf>
    <xf numFmtId="0" fontId="5" fillId="0" borderId="1" xfId="0" applyFont="1" applyBorder="1" applyAlignment="1">
      <alignment wrapText="1"/>
    </xf>
    <xf numFmtId="0" fontId="5" fillId="0" borderId="1" xfId="0" applyFont="1" applyBorder="1" applyAlignment="1">
      <alignment horizontal="right" vertical="center" wrapText="1"/>
    </xf>
    <xf numFmtId="4" fontId="4" fillId="2" borderId="1" xfId="0" applyNumberFormat="1" applyFont="1" applyFill="1" applyBorder="1" applyAlignment="1">
      <alignment vertical="center" wrapText="1"/>
    </xf>
    <xf numFmtId="3" fontId="5" fillId="0" borderId="1" xfId="0" applyNumberFormat="1" applyFont="1" applyBorder="1" applyAlignment="1">
      <alignment horizontal="right" vertical="center" wrapText="1"/>
    </xf>
    <xf numFmtId="0" fontId="4" fillId="6" borderId="1" xfId="0" applyFont="1" applyFill="1" applyBorder="1" applyAlignment="1">
      <alignment vertical="center" wrapText="1"/>
    </xf>
    <xf numFmtId="4" fontId="4" fillId="0" borderId="1" xfId="0" applyNumberFormat="1" applyFont="1" applyBorder="1" applyAlignment="1">
      <alignment vertical="center" wrapText="1"/>
    </xf>
    <xf numFmtId="4" fontId="5" fillId="0" borderId="1" xfId="0" applyNumberFormat="1" applyFont="1" applyBorder="1" applyAlignment="1">
      <alignment vertical="center" wrapText="1"/>
    </xf>
    <xf numFmtId="0" fontId="5" fillId="0" borderId="1" xfId="0" applyFont="1" applyBorder="1" applyAlignment="1">
      <alignment horizontal="right" vertical="top" wrapText="1"/>
    </xf>
    <xf numFmtId="0" fontId="5" fillId="0" borderId="1" xfId="0" applyFont="1" applyBorder="1" applyAlignment="1">
      <alignment horizontal="left" vertical="top" wrapText="1"/>
    </xf>
    <xf numFmtId="3" fontId="4" fillId="0" borderId="1" xfId="0" applyNumberFormat="1" applyFont="1" applyBorder="1" applyAlignment="1">
      <alignment horizontal="right" vertical="center" wrapText="1"/>
    </xf>
    <xf numFmtId="0" fontId="5" fillId="6" borderId="1" xfId="0" applyFont="1" applyFill="1" applyBorder="1" applyAlignment="1">
      <alignment horizontal="left" vertical="top" wrapText="1"/>
    </xf>
    <xf numFmtId="0" fontId="5" fillId="6" borderId="1" xfId="0" applyFont="1" applyFill="1" applyBorder="1" applyAlignment="1">
      <alignment horizontal="center" vertical="top" wrapText="1"/>
    </xf>
    <xf numFmtId="0" fontId="4" fillId="6" borderId="1" xfId="0" applyFont="1" applyFill="1" applyBorder="1"/>
    <xf numFmtId="3" fontId="5" fillId="4" borderId="1" xfId="0" applyNumberFormat="1" applyFont="1" applyFill="1" applyBorder="1" applyAlignment="1">
      <alignment horizontal="right" vertical="center" wrapText="1"/>
    </xf>
    <xf numFmtId="4" fontId="4" fillId="4" borderId="1" xfId="0" applyNumberFormat="1" applyFont="1" applyFill="1" applyBorder="1" applyAlignment="1">
      <alignment horizontal="right" vertical="center" wrapText="1"/>
    </xf>
    <xf numFmtId="4" fontId="5" fillId="4" borderId="1" xfId="0" applyNumberFormat="1" applyFont="1" applyFill="1" applyBorder="1" applyAlignment="1">
      <alignment horizontal="right" vertical="center" wrapText="1"/>
    </xf>
    <xf numFmtId="0" fontId="5" fillId="0" borderId="1" xfId="0" applyFont="1" applyBorder="1" applyAlignment="1">
      <alignment vertical="center" wrapText="1"/>
    </xf>
    <xf numFmtId="3" fontId="4" fillId="6" borderId="1" xfId="0" applyNumberFormat="1" applyFont="1" applyFill="1" applyBorder="1" applyAlignment="1">
      <alignment wrapText="1"/>
    </xf>
    <xf numFmtId="4" fontId="4" fillId="6" borderId="1" xfId="0" applyNumberFormat="1" applyFont="1" applyFill="1" applyBorder="1" applyAlignment="1">
      <alignment horizontal="right" vertical="center" wrapText="1"/>
    </xf>
    <xf numFmtId="4" fontId="4" fillId="6" borderId="1" xfId="0" applyNumberFormat="1" applyFont="1" applyFill="1" applyBorder="1" applyAlignment="1">
      <alignment vertical="center" wrapText="1"/>
    </xf>
    <xf numFmtId="0" fontId="4" fillId="6" borderId="1" xfId="0" applyFont="1" applyFill="1" applyBorder="1" applyAlignment="1">
      <alignment wrapText="1"/>
    </xf>
    <xf numFmtId="0" fontId="4" fillId="6" borderId="1" xfId="0" applyFont="1" applyFill="1" applyBorder="1" applyAlignment="1">
      <alignment vertical="center"/>
    </xf>
    <xf numFmtId="4" fontId="4" fillId="6" borderId="1" xfId="460" applyNumberFormat="1" applyFont="1" applyFill="1" applyBorder="1" applyAlignment="1">
      <alignment horizontal="right" vertical="center" wrapText="1"/>
    </xf>
    <xf numFmtId="0" fontId="4" fillId="6" borderId="1" xfId="460" applyFont="1" applyFill="1" applyBorder="1" applyAlignment="1">
      <alignment vertical="center" wrapText="1"/>
    </xf>
    <xf numFmtId="0" fontId="5" fillId="6" borderId="1" xfId="0" applyFont="1" applyFill="1" applyBorder="1" applyAlignment="1">
      <alignment horizontal="right" vertical="center" wrapText="1"/>
    </xf>
    <xf numFmtId="4" fontId="5" fillId="6" borderId="1" xfId="0" applyNumberFormat="1" applyFont="1" applyFill="1" applyBorder="1" applyAlignment="1">
      <alignment vertical="center" wrapText="1"/>
    </xf>
    <xf numFmtId="0" fontId="5" fillId="6" borderId="1" xfId="0" applyFont="1" applyFill="1" applyBorder="1" applyAlignment="1">
      <alignment horizontal="left" vertical="center" wrapText="1"/>
    </xf>
    <xf numFmtId="4" fontId="5" fillId="6" borderId="1" xfId="0" applyNumberFormat="1" applyFont="1" applyFill="1" applyBorder="1" applyAlignment="1">
      <alignment horizontal="right" vertical="center" wrapText="1"/>
    </xf>
    <xf numFmtId="1" fontId="4" fillId="6" borderId="1" xfId="0" applyNumberFormat="1" applyFont="1" applyFill="1" applyBorder="1" applyAlignment="1">
      <alignment vertical="center" wrapText="1"/>
    </xf>
    <xf numFmtId="0" fontId="12" fillId="0" borderId="0" xfId="0" applyFont="1"/>
    <xf numFmtId="4" fontId="4" fillId="6" borderId="1" xfId="0" applyNumberFormat="1" applyFont="1" applyFill="1" applyBorder="1" applyAlignment="1">
      <alignment vertical="center"/>
    </xf>
    <xf numFmtId="0" fontId="5" fillId="3" borderId="1" xfId="0" applyFont="1" applyFill="1" applyBorder="1" applyAlignment="1">
      <alignment horizontal="center" vertical="top" wrapText="1"/>
    </xf>
    <xf numFmtId="0" fontId="5" fillId="6" borderId="1" xfId="0" applyFont="1" applyFill="1" applyBorder="1" applyAlignment="1">
      <alignment vertical="center" wrapText="1"/>
    </xf>
    <xf numFmtId="165" fontId="4" fillId="6" borderId="1" xfId="0" applyNumberFormat="1" applyFont="1" applyFill="1" applyBorder="1" applyAlignment="1">
      <alignment horizontal="left" vertical="center" wrapText="1"/>
    </xf>
    <xf numFmtId="3" fontId="5" fillId="6" borderId="1" xfId="0" applyNumberFormat="1" applyFont="1" applyFill="1" applyBorder="1" applyAlignment="1">
      <alignment horizontal="right" vertical="center" wrapText="1"/>
    </xf>
    <xf numFmtId="3" fontId="4" fillId="6" borderId="1" xfId="0" applyNumberFormat="1" applyFont="1" applyFill="1" applyBorder="1" applyAlignment="1">
      <alignment vertical="center" wrapText="1"/>
    </xf>
    <xf numFmtId="0" fontId="4" fillId="6" borderId="1" xfId="0" applyFont="1" applyFill="1" applyBorder="1" applyAlignment="1">
      <alignment horizontal="left" vertical="center" wrapText="1"/>
    </xf>
    <xf numFmtId="3" fontId="4" fillId="6" borderId="1" xfId="0" applyNumberFormat="1" applyFont="1" applyFill="1" applyBorder="1" applyAlignment="1">
      <alignment horizontal="left" vertical="top" wrapText="1"/>
    </xf>
    <xf numFmtId="0" fontId="4" fillId="6" borderId="1" xfId="0" applyFont="1" applyFill="1" applyBorder="1" applyAlignment="1">
      <alignment horizontal="left" wrapText="1"/>
    </xf>
    <xf numFmtId="0" fontId="4" fillId="0" borderId="1" xfId="0" applyFont="1" applyBorder="1" applyAlignment="1">
      <alignment vertical="center"/>
    </xf>
    <xf numFmtId="0" fontId="5" fillId="3" borderId="1" xfId="0" applyFont="1" applyFill="1" applyBorder="1" applyAlignment="1">
      <alignment horizontal="center" vertical="center" wrapText="1"/>
    </xf>
    <xf numFmtId="4" fontId="4" fillId="0" borderId="1" xfId="0" applyNumberFormat="1" applyFont="1" applyBorder="1" applyAlignment="1">
      <alignment vertical="center"/>
    </xf>
    <xf numFmtId="4" fontId="5" fillId="0" borderId="1" xfId="0" applyNumberFormat="1" applyFont="1" applyBorder="1" applyAlignment="1">
      <alignment horizontal="right" vertical="center"/>
    </xf>
    <xf numFmtId="10" fontId="4" fillId="0" borderId="1" xfId="0" applyNumberFormat="1" applyFont="1" applyBorder="1" applyAlignment="1">
      <alignment vertical="center"/>
    </xf>
    <xf numFmtId="4" fontId="4" fillId="3" borderId="1" xfId="0" applyNumberFormat="1" applyFont="1" applyFill="1" applyBorder="1" applyAlignment="1">
      <alignment vertical="center"/>
    </xf>
    <xf numFmtId="10" fontId="5" fillId="0" borderId="1" xfId="0" applyNumberFormat="1" applyFont="1" applyBorder="1" applyAlignment="1">
      <alignment vertical="center"/>
    </xf>
    <xf numFmtId="4" fontId="4" fillId="4" borderId="1" xfId="0" applyNumberFormat="1" applyFont="1" applyFill="1" applyBorder="1" applyAlignment="1">
      <alignment vertical="center"/>
    </xf>
    <xf numFmtId="4" fontId="5" fillId="4" borderId="1" xfId="0" applyNumberFormat="1" applyFont="1" applyFill="1" applyBorder="1" applyAlignment="1">
      <alignment vertical="center" wrapText="1"/>
    </xf>
    <xf numFmtId="4" fontId="4" fillId="4" borderId="1" xfId="0" applyNumberFormat="1" applyFont="1" applyFill="1" applyBorder="1" applyAlignment="1">
      <alignment vertical="center" wrapText="1"/>
    </xf>
    <xf numFmtId="4" fontId="5" fillId="0" borderId="1" xfId="0" applyNumberFormat="1" applyFont="1" applyBorder="1" applyAlignment="1">
      <alignment vertical="center"/>
    </xf>
    <xf numFmtId="0" fontId="5" fillId="6" borderId="1" xfId="0" applyFont="1" applyFill="1" applyBorder="1" applyAlignment="1">
      <alignment horizontal="center" vertical="center" wrapText="1"/>
    </xf>
    <xf numFmtId="0" fontId="4" fillId="6" borderId="1" xfId="0" applyFont="1" applyFill="1" applyBorder="1" applyAlignment="1">
      <alignment horizontal="left" vertical="top" wrapText="1"/>
    </xf>
    <xf numFmtId="4" fontId="11" fillId="6" borderId="1" xfId="0" applyNumberFormat="1" applyFont="1" applyFill="1" applyBorder="1" applyAlignment="1">
      <alignment vertical="center" wrapText="1"/>
    </xf>
    <xf numFmtId="0" fontId="10" fillId="2" borderId="1" xfId="0" applyFont="1" applyFill="1" applyBorder="1" applyAlignment="1">
      <alignment horizontal="left" vertical="center" wrapText="1"/>
    </xf>
    <xf numFmtId="0" fontId="5" fillId="0" borderId="1" xfId="0" applyFont="1" applyBorder="1" applyAlignment="1">
      <alignment vertical="center"/>
    </xf>
    <xf numFmtId="0" fontId="4" fillId="0" borderId="0" xfId="0" applyFont="1" applyAlignment="1">
      <alignment vertical="center"/>
    </xf>
    <xf numFmtId="4" fontId="4" fillId="0" borderId="1" xfId="0" applyNumberFormat="1" applyFont="1" applyBorder="1"/>
    <xf numFmtId="165" fontId="4" fillId="6" borderId="1" xfId="0" applyNumberFormat="1" applyFont="1" applyFill="1" applyBorder="1" applyAlignment="1">
      <alignment horizontal="left" wrapText="1"/>
    </xf>
    <xf numFmtId="4" fontId="4" fillId="6" borderId="1" xfId="0" applyNumberFormat="1" applyFont="1" applyFill="1" applyBorder="1" applyAlignment="1">
      <alignment horizontal="left" vertical="center" wrapText="1"/>
    </xf>
    <xf numFmtId="4" fontId="4" fillId="6" borderId="1" xfId="0" applyNumberFormat="1" applyFont="1" applyFill="1" applyBorder="1" applyAlignment="1">
      <alignment horizontal="center" vertical="center" wrapText="1"/>
    </xf>
    <xf numFmtId="4" fontId="4" fillId="7" borderId="1" xfId="0" applyNumberFormat="1" applyFont="1" applyFill="1" applyBorder="1" applyAlignment="1">
      <alignment vertical="center"/>
    </xf>
    <xf numFmtId="4" fontId="4" fillId="0" borderId="1" xfId="0" applyNumberFormat="1" applyFont="1" applyBorder="1" applyAlignment="1">
      <alignment wrapText="1"/>
    </xf>
    <xf numFmtId="0" fontId="4" fillId="7" borderId="1" xfId="0" applyFont="1" applyFill="1" applyBorder="1"/>
    <xf numFmtId="0" fontId="10" fillId="6" borderId="1" xfId="0" applyFont="1" applyFill="1" applyBorder="1"/>
    <xf numFmtId="0" fontId="4" fillId="6" borderId="2" xfId="0" applyFont="1" applyFill="1" applyBorder="1" applyAlignment="1">
      <alignment vertical="center"/>
    </xf>
    <xf numFmtId="0" fontId="5" fillId="0" borderId="2" xfId="0" applyFont="1" applyBorder="1" applyAlignment="1">
      <alignment horizontal="right" vertical="center" wrapText="1"/>
    </xf>
    <xf numFmtId="0" fontId="4" fillId="0" borderId="2" xfId="0" applyFont="1" applyBorder="1" applyAlignment="1">
      <alignment vertical="center" wrapText="1"/>
    </xf>
    <xf numFmtId="0" fontId="11" fillId="6" borderId="0" xfId="0" applyFont="1" applyFill="1"/>
    <xf numFmtId="0" fontId="10" fillId="6" borderId="0" xfId="0" applyFont="1" applyFill="1"/>
    <xf numFmtId="0" fontId="11" fillId="6" borderId="0" xfId="0" applyFont="1" applyFill="1" applyAlignment="1">
      <alignment vertical="center"/>
    </xf>
    <xf numFmtId="0" fontId="11" fillId="0" borderId="0" xfId="0" applyFont="1"/>
    <xf numFmtId="4" fontId="4" fillId="6" borderId="1" xfId="0" applyNumberFormat="1" applyFont="1" applyFill="1" applyBorder="1" applyAlignment="1">
      <alignment wrapText="1"/>
    </xf>
    <xf numFmtId="0" fontId="5" fillId="6" borderId="1" xfId="0" applyFont="1" applyFill="1" applyBorder="1" applyAlignment="1">
      <alignment horizontal="right" vertical="center"/>
    </xf>
    <xf numFmtId="0" fontId="4" fillId="2" borderId="1" xfId="0" applyFont="1" applyFill="1" applyBorder="1" applyAlignment="1">
      <alignment horizontal="left" vertical="center" wrapText="1"/>
    </xf>
    <xf numFmtId="0" fontId="4" fillId="3" borderId="1" xfId="0" applyFont="1" applyFill="1" applyBorder="1" applyAlignment="1">
      <alignment horizontal="left" vertical="center" wrapText="1"/>
    </xf>
    <xf numFmtId="0" fontId="11" fillId="0" borderId="1" xfId="0" applyFont="1" applyBorder="1"/>
    <xf numFmtId="0" fontId="10" fillId="0" borderId="1" xfId="0" applyFont="1" applyBorder="1"/>
    <xf numFmtId="4" fontId="11" fillId="0" borderId="1" xfId="0" applyNumberFormat="1" applyFont="1" applyBorder="1" applyAlignment="1">
      <alignment vertical="center"/>
    </xf>
    <xf numFmtId="0" fontId="11" fillId="0" borderId="1" xfId="0" applyFont="1" applyBorder="1" applyAlignment="1">
      <alignment vertical="center"/>
    </xf>
    <xf numFmtId="0" fontId="10" fillId="0" borderId="1" xfId="0" applyFont="1" applyBorder="1" applyAlignment="1">
      <alignment horizontal="left" vertical="center"/>
    </xf>
    <xf numFmtId="0" fontId="10" fillId="2" borderId="1" xfId="0" applyFont="1" applyFill="1" applyBorder="1" applyAlignment="1">
      <alignment horizontal="right" vertical="center" wrapText="1"/>
    </xf>
    <xf numFmtId="0" fontId="10" fillId="3" borderId="1" xfId="0" applyFont="1" applyFill="1" applyBorder="1" applyAlignment="1">
      <alignment horizontal="left" vertical="center"/>
    </xf>
    <xf numFmtId="4" fontId="11" fillId="3" borderId="1" xfId="0" applyNumberFormat="1" applyFont="1" applyFill="1" applyBorder="1" applyAlignment="1">
      <alignment vertical="center"/>
    </xf>
    <xf numFmtId="4" fontId="10" fillId="0" borderId="1" xfId="457" applyNumberFormat="1" applyFont="1" applyBorder="1" applyAlignment="1">
      <alignment vertical="center"/>
    </xf>
    <xf numFmtId="4" fontId="10" fillId="2" borderId="1" xfId="0" applyNumberFormat="1" applyFont="1" applyFill="1" applyBorder="1" applyAlignment="1">
      <alignment vertical="center" wrapText="1"/>
    </xf>
    <xf numFmtId="0" fontId="16" fillId="0" borderId="1" xfId="0" applyFont="1" applyBorder="1"/>
    <xf numFmtId="0" fontId="16" fillId="6" borderId="1" xfId="0" applyFont="1" applyFill="1" applyBorder="1"/>
    <xf numFmtId="0" fontId="5" fillId="0" borderId="1" xfId="0" applyFont="1" applyBorder="1" applyAlignment="1">
      <alignment horizontal="left" vertical="center" wrapText="1"/>
    </xf>
    <xf numFmtId="0" fontId="4" fillId="0" borderId="1" xfId="0" applyFont="1" applyBorder="1" applyAlignment="1">
      <alignment horizontal="left" vertical="center" wrapText="1"/>
    </xf>
    <xf numFmtId="0" fontId="5" fillId="0" borderId="0" xfId="0" applyFont="1" applyAlignment="1">
      <alignment horizontal="right"/>
    </xf>
    <xf numFmtId="0" fontId="4" fillId="0" borderId="0" xfId="0" applyFont="1" applyAlignment="1">
      <alignment vertical="center" wrapText="1"/>
    </xf>
    <xf numFmtId="4" fontId="11" fillId="0" borderId="1" xfId="0" applyNumberFormat="1" applyFont="1" applyBorder="1" applyAlignment="1">
      <alignment vertical="center" wrapText="1"/>
    </xf>
    <xf numFmtId="0" fontId="11" fillId="0" borderId="1" xfId="0" applyFont="1" applyBorder="1" applyAlignment="1">
      <alignment wrapText="1"/>
    </xf>
    <xf numFmtId="0" fontId="5" fillId="0" borderId="1" xfId="0" applyFont="1" applyBorder="1" applyAlignment="1">
      <alignment horizontal="right"/>
    </xf>
    <xf numFmtId="0" fontId="5" fillId="7" borderId="1" xfId="0" applyFont="1" applyFill="1" applyBorder="1" applyAlignment="1">
      <alignment horizontal="left" vertical="center"/>
    </xf>
    <xf numFmtId="0" fontId="5" fillId="2" borderId="1" xfId="0" applyFont="1" applyFill="1" applyBorder="1" applyAlignment="1">
      <alignment horizontal="left" vertical="center" wrapText="1"/>
    </xf>
    <xf numFmtId="0" fontId="5" fillId="6" borderId="1" xfId="0" applyFont="1" applyFill="1" applyBorder="1" applyAlignment="1">
      <alignment horizontal="left" vertical="center"/>
    </xf>
    <xf numFmtId="0" fontId="4" fillId="6" borderId="1" xfId="0" applyFont="1" applyFill="1" applyBorder="1" applyAlignment="1">
      <alignment horizontal="left" vertical="center"/>
    </xf>
    <xf numFmtId="0" fontId="4" fillId="0" borderId="1" xfId="0" applyFont="1" applyBorder="1" applyAlignment="1">
      <alignment horizontal="left" vertical="center"/>
    </xf>
    <xf numFmtId="0" fontId="5" fillId="6" borderId="1" xfId="0" applyFont="1" applyFill="1" applyBorder="1" applyAlignment="1">
      <alignment horizontal="left"/>
    </xf>
    <xf numFmtId="0" fontId="5" fillId="0" borderId="2" xfId="0" applyFont="1" applyBorder="1" applyAlignment="1">
      <alignment horizontal="left" vertical="center"/>
    </xf>
    <xf numFmtId="4" fontId="4" fillId="0" borderId="0" xfId="0" applyNumberFormat="1" applyFont="1" applyAlignment="1">
      <alignment vertical="center" wrapText="1"/>
    </xf>
    <xf numFmtId="4" fontId="4" fillId="0" borderId="0" xfId="0" applyNumberFormat="1" applyFont="1" applyAlignment="1">
      <alignment horizontal="right" vertical="center" wrapText="1"/>
    </xf>
    <xf numFmtId="0" fontId="13" fillId="3" borderId="1" xfId="0" applyFont="1" applyFill="1" applyBorder="1" applyAlignment="1">
      <alignment vertical="center" wrapText="1"/>
    </xf>
    <xf numFmtId="3" fontId="4" fillId="0" borderId="1" xfId="0" applyNumberFormat="1" applyFont="1" applyBorder="1" applyAlignment="1">
      <alignment horizontal="left" wrapText="1"/>
    </xf>
    <xf numFmtId="4" fontId="5" fillId="0" borderId="1" xfId="0" applyNumberFormat="1" applyFont="1" applyBorder="1" applyAlignment="1">
      <alignment horizontal="right" vertical="top" wrapText="1"/>
    </xf>
    <xf numFmtId="0" fontId="4" fillId="0" borderId="3" xfId="0" applyFont="1" applyBorder="1"/>
    <xf numFmtId="0" fontId="5" fillId="2" borderId="3" xfId="0" applyFont="1" applyFill="1" applyBorder="1" applyAlignment="1">
      <alignment horizontal="left" vertical="center" wrapText="1"/>
    </xf>
    <xf numFmtId="0" fontId="4" fillId="6" borderId="4" xfId="0" applyFont="1" applyFill="1" applyBorder="1"/>
    <xf numFmtId="4" fontId="4" fillId="6" borderId="5" xfId="0" applyNumberFormat="1" applyFont="1" applyFill="1" applyBorder="1" applyAlignment="1">
      <alignment vertical="center"/>
    </xf>
    <xf numFmtId="4" fontId="5" fillId="6" borderId="5" xfId="0" applyNumberFormat="1" applyFont="1" applyFill="1" applyBorder="1" applyAlignment="1">
      <alignment vertical="center"/>
    </xf>
    <xf numFmtId="0" fontId="18" fillId="0" borderId="0" xfId="0" applyFont="1"/>
    <xf numFmtId="4" fontId="4" fillId="3" borderId="1" xfId="0" applyNumberFormat="1" applyFont="1" applyFill="1" applyBorder="1" applyAlignment="1">
      <alignment vertical="center" wrapText="1"/>
    </xf>
    <xf numFmtId="0" fontId="5" fillId="8" borderId="1" xfId="0" applyFont="1" applyFill="1" applyBorder="1"/>
    <xf numFmtId="0" fontId="4" fillId="6" borderId="1" xfId="0" applyFont="1" applyFill="1" applyBorder="1" applyAlignment="1">
      <alignment horizontal="left"/>
    </xf>
    <xf numFmtId="0" fontId="5" fillId="6" borderId="1" xfId="0" applyFont="1" applyFill="1" applyBorder="1"/>
    <xf numFmtId="3" fontId="5" fillId="6" borderId="1" xfId="0" applyNumberFormat="1" applyFont="1" applyFill="1" applyBorder="1" applyAlignment="1">
      <alignment horizontal="left" vertical="center" wrapText="1"/>
    </xf>
    <xf numFmtId="3" fontId="4" fillId="6" borderId="1" xfId="0" applyNumberFormat="1" applyFont="1" applyFill="1" applyBorder="1" applyAlignment="1">
      <alignment horizontal="left" vertical="center" wrapText="1"/>
    </xf>
    <xf numFmtId="0" fontId="4" fillId="0" borderId="1" xfId="0" applyFont="1" applyBorder="1" applyAlignment="1">
      <alignment horizontal="left" vertical="top" wrapText="1"/>
    </xf>
    <xf numFmtId="3" fontId="5" fillId="3" borderId="1" xfId="458" applyNumberFormat="1" applyFont="1" applyFill="1" applyBorder="1" applyAlignment="1">
      <alignment horizontal="left" vertical="center"/>
    </xf>
    <xf numFmtId="49" fontId="5" fillId="3" borderId="1" xfId="458" applyNumberFormat="1" applyFont="1" applyFill="1" applyBorder="1" applyAlignment="1">
      <alignment horizontal="center" vertical="center" wrapText="1"/>
    </xf>
    <xf numFmtId="0" fontId="4" fillId="3" borderId="1" xfId="0" applyFont="1" applyFill="1" applyBorder="1" applyAlignment="1">
      <alignment vertical="center"/>
    </xf>
    <xf numFmtId="3" fontId="5" fillId="0" borderId="1" xfId="458" applyNumberFormat="1" applyFont="1" applyBorder="1" applyAlignment="1">
      <alignment horizontal="center" vertical="center"/>
    </xf>
    <xf numFmtId="3" fontId="5" fillId="0" borderId="1" xfId="458" applyNumberFormat="1" applyFont="1" applyBorder="1" applyAlignment="1">
      <alignment vertical="center" wrapText="1"/>
    </xf>
    <xf numFmtId="4" fontId="5" fillId="0" borderId="1" xfId="459" applyNumberFormat="1" applyFont="1" applyBorder="1" applyAlignment="1">
      <alignment vertical="center"/>
    </xf>
    <xf numFmtId="3" fontId="5" fillId="0" borderId="1" xfId="459" applyNumberFormat="1" applyFont="1" applyBorder="1" applyAlignment="1">
      <alignment vertical="center"/>
    </xf>
    <xf numFmtId="4" fontId="5" fillId="6" borderId="1" xfId="0" applyNumberFormat="1" applyFont="1" applyFill="1" applyBorder="1" applyAlignment="1">
      <alignment vertical="center"/>
    </xf>
    <xf numFmtId="0" fontId="4" fillId="0" borderId="1" xfId="458" applyFont="1" applyBorder="1" applyAlignment="1">
      <alignment horizontal="left" vertical="center" wrapText="1"/>
    </xf>
    <xf numFmtId="4" fontId="4" fillId="0" borderId="1" xfId="459" applyNumberFormat="1" applyFont="1" applyBorder="1" applyAlignment="1" applyProtection="1">
      <alignment vertical="center"/>
      <protection locked="0"/>
    </xf>
    <xf numFmtId="0" fontId="4" fillId="0" borderId="1" xfId="458" applyFont="1" applyBorder="1" applyAlignment="1">
      <alignment vertical="center" wrapText="1"/>
    </xf>
    <xf numFmtId="0" fontId="5" fillId="0" borderId="1" xfId="458" applyFont="1" applyBorder="1" applyAlignment="1">
      <alignment vertical="center"/>
    </xf>
    <xf numFmtId="4" fontId="5" fillId="0" borderId="1" xfId="459" applyNumberFormat="1" applyFont="1" applyBorder="1" applyAlignment="1" applyProtection="1">
      <alignment vertical="center"/>
      <protection locked="0"/>
    </xf>
    <xf numFmtId="0" fontId="4" fillId="0" borderId="1" xfId="458" applyFont="1" applyBorder="1" applyAlignment="1">
      <alignment vertical="center"/>
    </xf>
    <xf numFmtId="0" fontId="5" fillId="0" borderId="1" xfId="458" applyFont="1" applyBorder="1" applyAlignment="1">
      <alignment vertical="center" wrapText="1"/>
    </xf>
    <xf numFmtId="0" fontId="4" fillId="3" borderId="1" xfId="458" applyFont="1" applyFill="1" applyBorder="1" applyAlignment="1">
      <alignment vertical="center" wrapText="1"/>
    </xf>
    <xf numFmtId="4" fontId="4" fillId="3" borderId="1" xfId="459" applyNumberFormat="1" applyFont="1" applyFill="1" applyBorder="1" applyAlignment="1" applyProtection="1">
      <alignment vertical="center"/>
      <protection locked="0"/>
    </xf>
    <xf numFmtId="4" fontId="5" fillId="0" borderId="1" xfId="458" applyNumberFormat="1" applyFont="1" applyBorder="1" applyAlignment="1">
      <alignment vertical="center"/>
    </xf>
    <xf numFmtId="4" fontId="5" fillId="0" borderId="1" xfId="457" applyNumberFormat="1" applyFont="1" applyBorder="1" applyAlignment="1">
      <alignment vertical="center"/>
    </xf>
    <xf numFmtId="0" fontId="4" fillId="0" borderId="1" xfId="0" applyFont="1" applyBorder="1" applyAlignment="1">
      <alignment horizontal="center" wrapText="1"/>
    </xf>
    <xf numFmtId="1" fontId="16" fillId="6" borderId="1" xfId="0" applyNumberFormat="1" applyFont="1" applyFill="1" applyBorder="1" applyAlignment="1">
      <alignment vertical="center" wrapText="1"/>
    </xf>
    <xf numFmtId="4" fontId="16" fillId="6" borderId="1" xfId="0" applyNumberFormat="1" applyFont="1" applyFill="1" applyBorder="1" applyAlignment="1">
      <alignment vertical="center" wrapText="1"/>
    </xf>
    <xf numFmtId="4" fontId="16" fillId="0" borderId="1" xfId="0" applyNumberFormat="1" applyFont="1" applyBorder="1" applyAlignment="1">
      <alignment vertical="center" wrapText="1"/>
    </xf>
    <xf numFmtId="4" fontId="14" fillId="0" borderId="1" xfId="0" applyNumberFormat="1" applyFont="1" applyBorder="1" applyAlignment="1">
      <alignment horizontal="right" vertical="center" wrapText="1"/>
    </xf>
    <xf numFmtId="4" fontId="16" fillId="6" borderId="1" xfId="0" applyNumberFormat="1" applyFont="1" applyFill="1" applyBorder="1" applyAlignment="1">
      <alignment wrapText="1"/>
    </xf>
    <xf numFmtId="4" fontId="19" fillId="6" borderId="1" xfId="0" applyNumberFormat="1" applyFont="1" applyFill="1" applyBorder="1" applyAlignment="1">
      <alignment vertical="center" wrapText="1"/>
    </xf>
    <xf numFmtId="4" fontId="19" fillId="0" borderId="1" xfId="0" applyNumberFormat="1" applyFont="1" applyBorder="1" applyAlignment="1">
      <alignment vertical="center" wrapText="1"/>
    </xf>
    <xf numFmtId="4" fontId="20" fillId="0" borderId="1" xfId="0" applyNumberFormat="1" applyFont="1" applyBorder="1" applyAlignment="1">
      <alignment horizontal="right" vertical="center" wrapText="1"/>
    </xf>
    <xf numFmtId="4" fontId="19" fillId="6" borderId="1" xfId="0" applyNumberFormat="1" applyFont="1" applyFill="1" applyBorder="1" applyAlignment="1">
      <alignment wrapText="1"/>
    </xf>
    <xf numFmtId="4" fontId="19" fillId="6" borderId="1" xfId="0" applyNumberFormat="1" applyFont="1" applyFill="1" applyBorder="1"/>
    <xf numFmtId="4" fontId="4" fillId="2" borderId="2" xfId="0" applyNumberFormat="1" applyFont="1" applyFill="1" applyBorder="1" applyAlignment="1">
      <alignment vertical="center"/>
    </xf>
    <xf numFmtId="0" fontId="4" fillId="6" borderId="0" xfId="0" applyFont="1" applyFill="1" applyAlignment="1">
      <alignment vertical="center"/>
    </xf>
    <xf numFmtId="3" fontId="10" fillId="0" borderId="1" xfId="458" applyNumberFormat="1" applyFont="1" applyBorder="1" applyAlignment="1">
      <alignment horizontal="center" vertical="center"/>
    </xf>
    <xf numFmtId="3" fontId="10" fillId="0" borderId="1" xfId="458" applyNumberFormat="1" applyFont="1" applyBorder="1" applyAlignment="1">
      <alignment horizontal="center" vertical="center" wrapText="1"/>
    </xf>
    <xf numFmtId="0" fontId="4" fillId="2" borderId="1" xfId="0" applyFont="1" applyFill="1" applyBorder="1" applyAlignment="1">
      <alignment horizontal="right" vertical="center" wrapText="1"/>
    </xf>
    <xf numFmtId="0" fontId="4" fillId="2" borderId="1" xfId="0" applyFont="1" applyFill="1" applyBorder="1" applyAlignment="1">
      <alignment vertical="center" wrapText="1"/>
    </xf>
    <xf numFmtId="16" fontId="5" fillId="0" borderId="1" xfId="0" applyNumberFormat="1" applyFont="1" applyBorder="1" applyAlignment="1">
      <alignment horizontal="left" vertical="center"/>
    </xf>
    <xf numFmtId="3" fontId="5" fillId="0" borderId="1" xfId="0" applyNumberFormat="1" applyFont="1" applyBorder="1" applyAlignment="1">
      <alignment horizontal="left" vertical="center" wrapText="1"/>
    </xf>
    <xf numFmtId="3" fontId="4" fillId="0" borderId="1" xfId="0" applyNumberFormat="1" applyFont="1" applyBorder="1" applyAlignment="1">
      <alignment horizontal="left" vertical="center" wrapText="1"/>
    </xf>
    <xf numFmtId="4" fontId="4" fillId="0" borderId="1" xfId="0" applyNumberFormat="1" applyFont="1" applyBorder="1" applyAlignment="1">
      <alignment horizontal="left" wrapText="1"/>
    </xf>
    <xf numFmtId="3" fontId="12" fillId="0" borderId="0" xfId="0" applyNumberFormat="1" applyFont="1"/>
    <xf numFmtId="3" fontId="18" fillId="0" borderId="0" xfId="0" applyNumberFormat="1" applyFont="1"/>
    <xf numFmtId="4" fontId="4" fillId="6" borderId="2" xfId="0" applyNumberFormat="1" applyFont="1" applyFill="1" applyBorder="1" applyAlignment="1">
      <alignment vertical="center"/>
    </xf>
    <xf numFmtId="0" fontId="4" fillId="9" borderId="1" xfId="0" applyFont="1" applyFill="1" applyBorder="1" applyAlignment="1">
      <alignment horizontal="left" vertical="top" wrapText="1"/>
    </xf>
    <xf numFmtId="0" fontId="4" fillId="9" borderId="1" xfId="0" applyFont="1" applyFill="1" applyBorder="1" applyAlignment="1">
      <alignment horizontal="left" vertical="top"/>
    </xf>
    <xf numFmtId="0" fontId="11" fillId="3" borderId="1" xfId="0" applyFont="1" applyFill="1" applyBorder="1" applyAlignment="1">
      <alignment horizontal="center"/>
    </xf>
    <xf numFmtId="3" fontId="5" fillId="3" borderId="1" xfId="0" applyNumberFormat="1" applyFont="1" applyFill="1" applyBorder="1" applyAlignment="1">
      <alignment horizontal="center" vertical="center" wrapText="1"/>
    </xf>
    <xf numFmtId="0" fontId="4" fillId="9" borderId="1" xfId="0" applyFont="1" applyFill="1" applyBorder="1" applyAlignment="1">
      <alignment wrapText="1"/>
    </xf>
    <xf numFmtId="0" fontId="5" fillId="6" borderId="1" xfId="0" applyFont="1" applyFill="1" applyBorder="1" applyAlignment="1">
      <alignment vertical="center"/>
    </xf>
    <xf numFmtId="0" fontId="4" fillId="2" borderId="1" xfId="0" applyFont="1" applyFill="1" applyBorder="1" applyAlignment="1">
      <alignment horizontal="left" vertical="center" wrapText="1"/>
    </xf>
    <xf numFmtId="0" fontId="9" fillId="0" borderId="1" xfId="0" applyFont="1" applyBorder="1" applyAlignment="1">
      <alignment horizontal="left" vertical="center"/>
    </xf>
    <xf numFmtId="0" fontId="4" fillId="3" borderId="1" xfId="0" applyFont="1" applyFill="1" applyBorder="1" applyAlignment="1">
      <alignment horizontal="left" vertical="center" wrapText="1"/>
    </xf>
    <xf numFmtId="0" fontId="4" fillId="3" borderId="1" xfId="0" applyFont="1" applyFill="1" applyBorder="1" applyAlignment="1">
      <alignment horizontal="left" vertical="center"/>
    </xf>
    <xf numFmtId="0" fontId="4" fillId="2" borderId="1" xfId="0" applyFont="1" applyFill="1" applyBorder="1" applyAlignment="1">
      <alignment vertical="top" wrapText="1"/>
    </xf>
    <xf numFmtId="0" fontId="4" fillId="0" borderId="1" xfId="0" applyFont="1" applyBorder="1" applyAlignment="1">
      <alignment vertical="top"/>
    </xf>
    <xf numFmtId="0" fontId="4" fillId="3" borderId="1" xfId="0" applyFont="1" applyFill="1" applyBorder="1" applyAlignment="1">
      <alignment horizontal="left" vertical="top" wrapText="1"/>
    </xf>
    <xf numFmtId="0" fontId="4" fillId="0" borderId="1" xfId="0" applyFont="1" applyBorder="1"/>
    <xf numFmtId="0" fontId="15" fillId="0" borderId="1" xfId="0" applyFont="1" applyBorder="1" applyAlignment="1">
      <alignment horizontal="left" vertical="center" wrapText="1"/>
    </xf>
    <xf numFmtId="0" fontId="4" fillId="3" borderId="1" xfId="0" applyFont="1" applyFill="1" applyBorder="1" applyAlignment="1">
      <alignment vertical="top" wrapText="1"/>
    </xf>
    <xf numFmtId="0" fontId="4" fillId="3" borderId="1" xfId="0" applyFont="1" applyFill="1" applyBorder="1" applyAlignment="1">
      <alignment horizontal="left" vertical="top"/>
    </xf>
    <xf numFmtId="0" fontId="5" fillId="3" borderId="1" xfId="0" applyFont="1" applyFill="1" applyBorder="1" applyAlignment="1">
      <alignment vertical="center"/>
    </xf>
    <xf numFmtId="0" fontId="5" fillId="0" borderId="1" xfId="0" applyFont="1" applyBorder="1" applyAlignment="1">
      <alignment vertical="center"/>
    </xf>
    <xf numFmtId="0" fontId="5" fillId="3" borderId="1" xfId="0" applyFont="1" applyFill="1" applyBorder="1" applyAlignment="1">
      <alignment horizontal="center" vertical="top" wrapText="1"/>
    </xf>
    <xf numFmtId="0" fontId="4" fillId="6" borderId="1" xfId="0" applyFont="1" applyFill="1" applyBorder="1" applyAlignment="1">
      <alignment horizontal="left" vertical="top" wrapText="1"/>
    </xf>
    <xf numFmtId="0" fontId="15" fillId="6" borderId="1" xfId="0" applyFont="1" applyFill="1" applyBorder="1" applyAlignment="1">
      <alignment horizontal="left" vertical="top" wrapText="1"/>
    </xf>
    <xf numFmtId="0" fontId="4" fillId="9" borderId="1" xfId="0" applyFont="1" applyFill="1" applyBorder="1" applyAlignment="1">
      <alignment horizontal="left" vertical="center" wrapText="1"/>
    </xf>
    <xf numFmtId="0" fontId="4" fillId="2" borderId="1" xfId="0" applyFont="1" applyFill="1" applyBorder="1" applyAlignment="1">
      <alignment horizontal="left" vertical="top" wrapText="1"/>
    </xf>
    <xf numFmtId="0" fontId="4" fillId="0" borderId="1" xfId="0" applyFont="1" applyBorder="1" applyAlignment="1">
      <alignment vertical="top" wrapText="1"/>
    </xf>
    <xf numFmtId="0" fontId="5" fillId="7" borderId="1" xfId="0" applyFont="1" applyFill="1" applyBorder="1" applyAlignment="1">
      <alignment horizontal="center"/>
    </xf>
    <xf numFmtId="0" fontId="5" fillId="0" borderId="1" xfId="0" applyFont="1" applyBorder="1" applyAlignment="1">
      <alignment horizontal="center"/>
    </xf>
    <xf numFmtId="0" fontId="4" fillId="2" borderId="3" xfId="0" applyFont="1" applyFill="1" applyBorder="1" applyAlignment="1">
      <alignment horizontal="left" vertical="center" wrapText="1"/>
    </xf>
    <xf numFmtId="0" fontId="4" fillId="0" borderId="3" xfId="0" applyFont="1" applyBorder="1" applyAlignment="1">
      <alignment vertical="center"/>
    </xf>
    <xf numFmtId="0" fontId="4" fillId="3" borderId="1" xfId="0" applyFont="1" applyFill="1" applyBorder="1" applyAlignment="1" applyProtection="1">
      <alignment vertical="top" wrapText="1"/>
      <protection locked="0"/>
    </xf>
    <xf numFmtId="0" fontId="5" fillId="0" borderId="1" xfId="0" applyFont="1" applyBorder="1" applyAlignment="1">
      <alignment vertical="center" wrapText="1"/>
    </xf>
    <xf numFmtId="0" fontId="5" fillId="0" borderId="1" xfId="0" applyFont="1" applyBorder="1" applyAlignment="1">
      <alignment horizontal="right"/>
    </xf>
    <xf numFmtId="0" fontId="17" fillId="0" borderId="1" xfId="0" applyFont="1" applyBorder="1" applyAlignment="1">
      <alignment horizontal="right"/>
    </xf>
    <xf numFmtId="0" fontId="4" fillId="0" borderId="1" xfId="0" applyFont="1" applyBorder="1" applyAlignment="1">
      <alignment horizontal="left" vertical="top" wrapText="1"/>
    </xf>
    <xf numFmtId="0" fontId="4" fillId="2" borderId="0" xfId="0" applyFont="1" applyFill="1" applyAlignment="1">
      <alignment horizontal="left" vertical="top" wrapText="1"/>
    </xf>
    <xf numFmtId="0" fontId="4" fillId="0" borderId="0" xfId="0" applyFont="1" applyAlignment="1">
      <alignment horizontal="left" vertical="top"/>
    </xf>
    <xf numFmtId="0" fontId="4" fillId="0" borderId="1" xfId="0" applyFont="1" applyBorder="1" applyAlignment="1">
      <alignment horizontal="left" vertical="top"/>
    </xf>
  </cellXfs>
  <cellStyles count="954">
    <cellStyle name="Hiperveza" xfId="1" builtinId="8" hidden="1"/>
    <cellStyle name="Hiperveza" xfId="3" builtinId="8" hidden="1"/>
    <cellStyle name="Hiperveza" xfId="5" builtinId="8" hidden="1"/>
    <cellStyle name="Hiperveza" xfId="7" builtinId="8" hidden="1"/>
    <cellStyle name="Hiperveza" xfId="9" builtinId="8" hidden="1"/>
    <cellStyle name="Hiperveza" xfId="11" builtinId="8" hidden="1"/>
    <cellStyle name="Hiperveza" xfId="13" builtinId="8" hidden="1"/>
    <cellStyle name="Hiperveza" xfId="15" builtinId="8" hidden="1"/>
    <cellStyle name="Hiperveza" xfId="17" builtinId="8" hidden="1"/>
    <cellStyle name="Hiperveza" xfId="19" builtinId="8" hidden="1"/>
    <cellStyle name="Hiperveza" xfId="21" builtinId="8" hidden="1"/>
    <cellStyle name="Hiperveza" xfId="23" builtinId="8" hidden="1"/>
    <cellStyle name="Hiperveza" xfId="25" builtinId="8" hidden="1"/>
    <cellStyle name="Hiperveza" xfId="27" builtinId="8" hidden="1"/>
    <cellStyle name="Hiperveza" xfId="29" builtinId="8" hidden="1"/>
    <cellStyle name="Hiperveza" xfId="31" builtinId="8" hidden="1"/>
    <cellStyle name="Hiperveza" xfId="33" builtinId="8" hidden="1"/>
    <cellStyle name="Hiperveza" xfId="35" builtinId="8" hidden="1"/>
    <cellStyle name="Hiperveza" xfId="37" builtinId="8" hidden="1"/>
    <cellStyle name="Hiperveza" xfId="39" builtinId="8" hidden="1"/>
    <cellStyle name="Hiperveza" xfId="41" builtinId="8" hidden="1"/>
    <cellStyle name="Hiperveza" xfId="43" builtinId="8" hidden="1"/>
    <cellStyle name="Hiperveza" xfId="45" builtinId="8" hidden="1"/>
    <cellStyle name="Hiperveza" xfId="47" builtinId="8" hidden="1"/>
    <cellStyle name="Hiperveza" xfId="49" builtinId="8" hidden="1"/>
    <cellStyle name="Hiperveza" xfId="51" builtinId="8" hidden="1"/>
    <cellStyle name="Hiperveza" xfId="53" builtinId="8" hidden="1"/>
    <cellStyle name="Hiperveza" xfId="55" builtinId="8" hidden="1"/>
    <cellStyle name="Hiperveza" xfId="57" builtinId="8" hidden="1"/>
    <cellStyle name="Hiperveza" xfId="59" builtinId="8" hidden="1"/>
    <cellStyle name="Hiperveza" xfId="61" builtinId="8" hidden="1"/>
    <cellStyle name="Hiperveza" xfId="63" builtinId="8" hidden="1"/>
    <cellStyle name="Hiperveza" xfId="65" builtinId="8" hidden="1"/>
    <cellStyle name="Hiperveza" xfId="67" builtinId="8" hidden="1"/>
    <cellStyle name="Hiperveza" xfId="69" builtinId="8" hidden="1"/>
    <cellStyle name="Hiperveza" xfId="71" builtinId="8" hidden="1"/>
    <cellStyle name="Hiperveza" xfId="73" builtinId="8" hidden="1"/>
    <cellStyle name="Hiperveza" xfId="75" builtinId="8" hidden="1"/>
    <cellStyle name="Hiperveza" xfId="77" builtinId="8" hidden="1"/>
    <cellStyle name="Hiperveza" xfId="79" builtinId="8" hidden="1"/>
    <cellStyle name="Hiperveza" xfId="81" builtinId="8" hidden="1"/>
    <cellStyle name="Hiperveza" xfId="83" builtinId="8" hidden="1"/>
    <cellStyle name="Hiperveza" xfId="85" builtinId="8" hidden="1"/>
    <cellStyle name="Hiperveza" xfId="87" builtinId="8" hidden="1"/>
    <cellStyle name="Hiperveza" xfId="89" builtinId="8" hidden="1"/>
    <cellStyle name="Hiperveza" xfId="91" builtinId="8" hidden="1"/>
    <cellStyle name="Hiperveza" xfId="93" builtinId="8" hidden="1"/>
    <cellStyle name="Hiperveza" xfId="95" builtinId="8" hidden="1"/>
    <cellStyle name="Hiperveza" xfId="97" builtinId="8" hidden="1"/>
    <cellStyle name="Hiperveza" xfId="99" builtinId="8" hidden="1"/>
    <cellStyle name="Hiperveza" xfId="101" builtinId="8" hidden="1"/>
    <cellStyle name="Hiperveza" xfId="103" builtinId="8" hidden="1"/>
    <cellStyle name="Hiperveza" xfId="105" builtinId="8" hidden="1"/>
    <cellStyle name="Hiperveza" xfId="107" builtinId="8" hidden="1"/>
    <cellStyle name="Hiperveza" xfId="109" builtinId="8" hidden="1"/>
    <cellStyle name="Hiperveza" xfId="111" builtinId="8" hidden="1"/>
    <cellStyle name="Hiperveza" xfId="113" builtinId="8" hidden="1"/>
    <cellStyle name="Hiperveza" xfId="115" builtinId="8" hidden="1"/>
    <cellStyle name="Hiperveza" xfId="117" builtinId="8" hidden="1"/>
    <cellStyle name="Hiperveza" xfId="119" builtinId="8" hidden="1"/>
    <cellStyle name="Hiperveza" xfId="121" builtinId="8" hidden="1"/>
    <cellStyle name="Hiperveza" xfId="123" builtinId="8" hidden="1"/>
    <cellStyle name="Hiperveza" xfId="125" builtinId="8" hidden="1"/>
    <cellStyle name="Hiperveza" xfId="127" builtinId="8" hidden="1"/>
    <cellStyle name="Hiperveza" xfId="129" builtinId="8" hidden="1"/>
    <cellStyle name="Hiperveza" xfId="131" builtinId="8" hidden="1"/>
    <cellStyle name="Hiperveza" xfId="133" builtinId="8" hidden="1"/>
    <cellStyle name="Hiperveza" xfId="135" builtinId="8" hidden="1"/>
    <cellStyle name="Hiperveza" xfId="137" builtinId="8" hidden="1"/>
    <cellStyle name="Hiperveza" xfId="139" builtinId="8" hidden="1"/>
    <cellStyle name="Hiperveza" xfId="141" builtinId="8" hidden="1"/>
    <cellStyle name="Hiperveza" xfId="143" builtinId="8" hidden="1"/>
    <cellStyle name="Hiperveza" xfId="145" builtinId="8" hidden="1"/>
    <cellStyle name="Hiperveza" xfId="147" builtinId="8" hidden="1"/>
    <cellStyle name="Hiperveza" xfId="149" builtinId="8" hidden="1"/>
    <cellStyle name="Hiperveza" xfId="151" builtinId="8" hidden="1"/>
    <cellStyle name="Hiperveza" xfId="153" builtinId="8" hidden="1"/>
    <cellStyle name="Hiperveza" xfId="155" builtinId="8" hidden="1"/>
    <cellStyle name="Hiperveza" xfId="157" builtinId="8" hidden="1"/>
    <cellStyle name="Hiperveza" xfId="159" builtinId="8" hidden="1"/>
    <cellStyle name="Hiperveza" xfId="161" builtinId="8" hidden="1"/>
    <cellStyle name="Hiperveza" xfId="163" builtinId="8" hidden="1"/>
    <cellStyle name="Hiperveza" xfId="165" builtinId="8" hidden="1"/>
    <cellStyle name="Hiperveza" xfId="167" builtinId="8" hidden="1"/>
    <cellStyle name="Hiperveza" xfId="169" builtinId="8" hidden="1"/>
    <cellStyle name="Hiperveza" xfId="171" builtinId="8" hidden="1"/>
    <cellStyle name="Hiperveza" xfId="173" builtinId="8" hidden="1"/>
    <cellStyle name="Hiperveza" xfId="175" builtinId="8" hidden="1"/>
    <cellStyle name="Hiperveza" xfId="177" builtinId="8" hidden="1"/>
    <cellStyle name="Hiperveza" xfId="179" builtinId="8" hidden="1"/>
    <cellStyle name="Hiperveza" xfId="181" builtinId="8" hidden="1"/>
    <cellStyle name="Hiperveza" xfId="183" builtinId="8" hidden="1"/>
    <cellStyle name="Hiperveza" xfId="185" builtinId="8" hidden="1"/>
    <cellStyle name="Hiperveza" xfId="187" builtinId="8" hidden="1"/>
    <cellStyle name="Hiperveza" xfId="189" builtinId="8" hidden="1"/>
    <cellStyle name="Hiperveza" xfId="191" builtinId="8" hidden="1"/>
    <cellStyle name="Hiperveza" xfId="193" builtinId="8" hidden="1"/>
    <cellStyle name="Hiperveza" xfId="195" builtinId="8" hidden="1"/>
    <cellStyle name="Hiperveza" xfId="197" builtinId="8" hidden="1"/>
    <cellStyle name="Hiperveza" xfId="199" builtinId="8" hidden="1"/>
    <cellStyle name="Hiperveza" xfId="201" builtinId="8" hidden="1"/>
    <cellStyle name="Hiperveza" xfId="203" builtinId="8" hidden="1"/>
    <cellStyle name="Hiperveza" xfId="205" builtinId="8" hidden="1"/>
    <cellStyle name="Hiperveza" xfId="207" builtinId="8" hidden="1"/>
    <cellStyle name="Hiperveza" xfId="209" builtinId="8" hidden="1"/>
    <cellStyle name="Hiperveza" xfId="211" builtinId="8" hidden="1"/>
    <cellStyle name="Hiperveza" xfId="213" builtinId="8" hidden="1"/>
    <cellStyle name="Hiperveza" xfId="215" builtinId="8" hidden="1"/>
    <cellStyle name="Hiperveza" xfId="217" builtinId="8" hidden="1"/>
    <cellStyle name="Hiperveza" xfId="219" builtinId="8" hidden="1"/>
    <cellStyle name="Hiperveza" xfId="221" builtinId="8" hidden="1"/>
    <cellStyle name="Hiperveza" xfId="223" builtinId="8" hidden="1"/>
    <cellStyle name="Hiperveza" xfId="225" builtinId="8" hidden="1"/>
    <cellStyle name="Hiperveza" xfId="227" builtinId="8" hidden="1"/>
    <cellStyle name="Hiperveza" xfId="229" builtinId="8" hidden="1"/>
    <cellStyle name="Hiperveza" xfId="231" builtinId="8" hidden="1"/>
    <cellStyle name="Hiperveza" xfId="233" builtinId="8" hidden="1"/>
    <cellStyle name="Hiperveza" xfId="235" builtinId="8" hidden="1"/>
    <cellStyle name="Hiperveza" xfId="237" builtinId="8" hidden="1"/>
    <cellStyle name="Hiperveza" xfId="239" builtinId="8" hidden="1"/>
    <cellStyle name="Hiperveza" xfId="241" builtinId="8" hidden="1"/>
    <cellStyle name="Hiperveza" xfId="243" builtinId="8" hidden="1"/>
    <cellStyle name="Hiperveza" xfId="245" builtinId="8" hidden="1"/>
    <cellStyle name="Hiperveza" xfId="247" builtinId="8" hidden="1"/>
    <cellStyle name="Hiperveza" xfId="249" builtinId="8" hidden="1"/>
    <cellStyle name="Hiperveza" xfId="251" builtinId="8" hidden="1"/>
    <cellStyle name="Hiperveza" xfId="253" builtinId="8" hidden="1"/>
    <cellStyle name="Hiperveza" xfId="255" builtinId="8" hidden="1"/>
    <cellStyle name="Hiperveza" xfId="257" builtinId="8" hidden="1"/>
    <cellStyle name="Hiperveza" xfId="259" builtinId="8" hidden="1"/>
    <cellStyle name="Hiperveza" xfId="261" builtinId="8" hidden="1"/>
    <cellStyle name="Hiperveza" xfId="263" builtinId="8" hidden="1"/>
    <cellStyle name="Hiperveza" xfId="265" builtinId="8" hidden="1"/>
    <cellStyle name="Hiperveza" xfId="267" builtinId="8" hidden="1"/>
    <cellStyle name="Hiperveza" xfId="269" builtinId="8" hidden="1"/>
    <cellStyle name="Hiperveza" xfId="271" builtinId="8" hidden="1"/>
    <cellStyle name="Hiperveza" xfId="273" builtinId="8" hidden="1"/>
    <cellStyle name="Hiperveza" xfId="275" builtinId="8" hidden="1"/>
    <cellStyle name="Hiperveza" xfId="277" builtinId="8" hidden="1"/>
    <cellStyle name="Hiperveza" xfId="279" builtinId="8" hidden="1"/>
    <cellStyle name="Hiperveza" xfId="281" builtinId="8" hidden="1"/>
    <cellStyle name="Hiperveza" xfId="283" builtinId="8" hidden="1"/>
    <cellStyle name="Hiperveza" xfId="285" builtinId="8" hidden="1"/>
    <cellStyle name="Hiperveza" xfId="287" builtinId="8" hidden="1"/>
    <cellStyle name="Hiperveza" xfId="289" builtinId="8" hidden="1"/>
    <cellStyle name="Hiperveza" xfId="291" builtinId="8" hidden="1"/>
    <cellStyle name="Hiperveza" xfId="293" builtinId="8" hidden="1"/>
    <cellStyle name="Hiperveza" xfId="295" builtinId="8" hidden="1"/>
    <cellStyle name="Hiperveza" xfId="297" builtinId="8" hidden="1"/>
    <cellStyle name="Hiperveza" xfId="299" builtinId="8" hidden="1"/>
    <cellStyle name="Hiperveza" xfId="301" builtinId="8" hidden="1"/>
    <cellStyle name="Hiperveza" xfId="303" builtinId="8" hidden="1"/>
    <cellStyle name="Hiperveza" xfId="305" builtinId="8" hidden="1"/>
    <cellStyle name="Hiperveza" xfId="307" builtinId="8" hidden="1"/>
    <cellStyle name="Hiperveza" xfId="309" builtinId="8" hidden="1"/>
    <cellStyle name="Hiperveza" xfId="311" builtinId="8" hidden="1"/>
    <cellStyle name="Hiperveza" xfId="313" builtinId="8" hidden="1"/>
    <cellStyle name="Hiperveza" xfId="315" builtinId="8" hidden="1"/>
    <cellStyle name="Hiperveza" xfId="317" builtinId="8" hidden="1"/>
    <cellStyle name="Hiperveza" xfId="319" builtinId="8" hidden="1"/>
    <cellStyle name="Hiperveza" xfId="321" builtinId="8" hidden="1"/>
    <cellStyle name="Hiperveza" xfId="323" builtinId="8" hidden="1"/>
    <cellStyle name="Hiperveza" xfId="325" builtinId="8" hidden="1"/>
    <cellStyle name="Hiperveza" xfId="327" builtinId="8" hidden="1"/>
    <cellStyle name="Hiperveza" xfId="329" builtinId="8" hidden="1"/>
    <cellStyle name="Hiperveza" xfId="331" builtinId="8" hidden="1"/>
    <cellStyle name="Hiperveza" xfId="333" builtinId="8" hidden="1"/>
    <cellStyle name="Hiperveza" xfId="335" builtinId="8" hidden="1"/>
    <cellStyle name="Hiperveza" xfId="337" builtinId="8" hidden="1"/>
    <cellStyle name="Hiperveza" xfId="339" builtinId="8" hidden="1"/>
    <cellStyle name="Hiperveza" xfId="341" builtinId="8" hidden="1"/>
    <cellStyle name="Hiperveza" xfId="343" builtinId="8" hidden="1"/>
    <cellStyle name="Hiperveza" xfId="345" builtinId="8" hidden="1"/>
    <cellStyle name="Hiperveza" xfId="347" builtinId="8" hidden="1"/>
    <cellStyle name="Hiperveza" xfId="349" builtinId="8" hidden="1"/>
    <cellStyle name="Hiperveza" xfId="351" builtinId="8" hidden="1"/>
    <cellStyle name="Hiperveza" xfId="353" builtinId="8" hidden="1"/>
    <cellStyle name="Hiperveza" xfId="355" builtinId="8" hidden="1"/>
    <cellStyle name="Hiperveza" xfId="357" builtinId="8" hidden="1"/>
    <cellStyle name="Hiperveza" xfId="359" builtinId="8" hidden="1"/>
    <cellStyle name="Hiperveza" xfId="361" builtinId="8" hidden="1"/>
    <cellStyle name="Hiperveza" xfId="363" builtinId="8" hidden="1"/>
    <cellStyle name="Hiperveza" xfId="365" builtinId="8" hidden="1"/>
    <cellStyle name="Hiperveza" xfId="367" builtinId="8" hidden="1"/>
    <cellStyle name="Hiperveza" xfId="369" builtinId="8" hidden="1"/>
    <cellStyle name="Hiperveza" xfId="371" builtinId="8" hidden="1"/>
    <cellStyle name="Hiperveza" xfId="373" builtinId="8" hidden="1"/>
    <cellStyle name="Hiperveza" xfId="375" builtinId="8" hidden="1"/>
    <cellStyle name="Hiperveza" xfId="377" builtinId="8" hidden="1"/>
    <cellStyle name="Hiperveza" xfId="379" builtinId="8" hidden="1"/>
    <cellStyle name="Hiperveza" xfId="381" builtinId="8" hidden="1"/>
    <cellStyle name="Hiperveza" xfId="383" builtinId="8" hidden="1"/>
    <cellStyle name="Hiperveza" xfId="385" builtinId="8" hidden="1"/>
    <cellStyle name="Hiperveza" xfId="387" builtinId="8" hidden="1"/>
    <cellStyle name="Hiperveza" xfId="389" builtinId="8" hidden="1"/>
    <cellStyle name="Hiperveza" xfId="391" builtinId="8" hidden="1"/>
    <cellStyle name="Hiperveza" xfId="393" builtinId="8" hidden="1"/>
    <cellStyle name="Hiperveza" xfId="395" builtinId="8" hidden="1"/>
    <cellStyle name="Hiperveza" xfId="397" builtinId="8" hidden="1"/>
    <cellStyle name="Hiperveza" xfId="399" builtinId="8" hidden="1"/>
    <cellStyle name="Hiperveza" xfId="401" builtinId="8" hidden="1"/>
    <cellStyle name="Hiperveza" xfId="403" builtinId="8" hidden="1"/>
    <cellStyle name="Hiperveza" xfId="405" builtinId="8" hidden="1"/>
    <cellStyle name="Hiperveza" xfId="407" builtinId="8" hidden="1"/>
    <cellStyle name="Hiperveza" xfId="409" builtinId="8" hidden="1"/>
    <cellStyle name="Hiperveza" xfId="411" builtinId="8" hidden="1"/>
    <cellStyle name="Hiperveza" xfId="413" builtinId="8" hidden="1"/>
    <cellStyle name="Hiperveza" xfId="415" builtinId="8" hidden="1"/>
    <cellStyle name="Hiperveza" xfId="417" builtinId="8" hidden="1"/>
    <cellStyle name="Hiperveza" xfId="419" builtinId="8" hidden="1"/>
    <cellStyle name="Hiperveza" xfId="421" builtinId="8" hidden="1"/>
    <cellStyle name="Hiperveza" xfId="423" builtinId="8" hidden="1"/>
    <cellStyle name="Hiperveza" xfId="425" builtinId="8" hidden="1"/>
    <cellStyle name="Hiperveza" xfId="427" builtinId="8" hidden="1"/>
    <cellStyle name="Hiperveza" xfId="429" builtinId="8" hidden="1"/>
    <cellStyle name="Hiperveza" xfId="431" builtinId="8" hidden="1"/>
    <cellStyle name="Hiperveza" xfId="433" builtinId="8" hidden="1"/>
    <cellStyle name="Hiperveza" xfId="435" builtinId="8" hidden="1"/>
    <cellStyle name="Hiperveza" xfId="437" builtinId="8" hidden="1"/>
    <cellStyle name="Hiperveza" xfId="439" builtinId="8" hidden="1"/>
    <cellStyle name="Hiperveza" xfId="441" builtinId="8" hidden="1"/>
    <cellStyle name="Hiperveza" xfId="443" builtinId="8" hidden="1"/>
    <cellStyle name="Hiperveza" xfId="445" builtinId="8" hidden="1"/>
    <cellStyle name="Hiperveza" xfId="447" builtinId="8" hidden="1"/>
    <cellStyle name="Hiperveza" xfId="449" builtinId="8" hidden="1"/>
    <cellStyle name="Hiperveza" xfId="451" builtinId="8" hidden="1"/>
    <cellStyle name="Hiperveza" xfId="453" builtinId="8" hidden="1"/>
    <cellStyle name="Hiperveza" xfId="455" builtinId="8" hidden="1"/>
    <cellStyle name="Hiperveza" xfId="461" builtinId="8" hidden="1"/>
    <cellStyle name="Hiperveza" xfId="463" builtinId="8" hidden="1"/>
    <cellStyle name="Hiperveza" xfId="465" builtinId="8" hidden="1"/>
    <cellStyle name="Hiperveza" xfId="467" builtinId="8" hidden="1"/>
    <cellStyle name="Hiperveza" xfId="469" builtinId="8" hidden="1"/>
    <cellStyle name="Hiperveza" xfId="471" builtinId="8" hidden="1"/>
    <cellStyle name="Hiperveza" xfId="473" builtinId="8" hidden="1"/>
    <cellStyle name="Hiperveza" xfId="475" builtinId="8" hidden="1"/>
    <cellStyle name="Hiperveza" xfId="477" builtinId="8" hidden="1"/>
    <cellStyle name="Hiperveza" xfId="479" builtinId="8" hidden="1"/>
    <cellStyle name="Hiperveza" xfId="481" builtinId="8" hidden="1"/>
    <cellStyle name="Hiperveza" xfId="483" builtinId="8" hidden="1"/>
    <cellStyle name="Hiperveza" xfId="485" builtinId="8" hidden="1"/>
    <cellStyle name="Hiperveza" xfId="487" builtinId="8" hidden="1"/>
    <cellStyle name="Hiperveza" xfId="489" builtinId="8" hidden="1"/>
    <cellStyle name="Hiperveza" xfId="491" builtinId="8" hidden="1"/>
    <cellStyle name="Hiperveza" xfId="493" builtinId="8" hidden="1"/>
    <cellStyle name="Hiperveza" xfId="495" builtinId="8" hidden="1"/>
    <cellStyle name="Hiperveza" xfId="497" builtinId="8" hidden="1"/>
    <cellStyle name="Hiperveza" xfId="499" builtinId="8" hidden="1"/>
    <cellStyle name="Hiperveza" xfId="501" builtinId="8" hidden="1"/>
    <cellStyle name="Hiperveza" xfId="503" builtinId="8" hidden="1"/>
    <cellStyle name="Hiperveza" xfId="505" builtinId="8" hidden="1"/>
    <cellStyle name="Hiperveza" xfId="507" builtinId="8" hidden="1"/>
    <cellStyle name="Hiperveza" xfId="509" builtinId="8" hidden="1"/>
    <cellStyle name="Hiperveza" xfId="511" builtinId="8" hidden="1"/>
    <cellStyle name="Hiperveza" xfId="513" builtinId="8" hidden="1"/>
    <cellStyle name="Hiperveza" xfId="515" builtinId="8" hidden="1"/>
    <cellStyle name="Hiperveza" xfId="517" builtinId="8" hidden="1"/>
    <cellStyle name="Hiperveza" xfId="519" builtinId="8" hidden="1"/>
    <cellStyle name="Hiperveza" xfId="521" builtinId="8" hidden="1"/>
    <cellStyle name="Hiperveza" xfId="523" builtinId="8" hidden="1"/>
    <cellStyle name="Hiperveza" xfId="525" builtinId="8" hidden="1"/>
    <cellStyle name="Hiperveza" xfId="527" builtinId="8" hidden="1"/>
    <cellStyle name="Hiperveza" xfId="529" builtinId="8" hidden="1"/>
    <cellStyle name="Hiperveza" xfId="531" builtinId="8" hidden="1"/>
    <cellStyle name="Hiperveza" xfId="533" builtinId="8" hidden="1"/>
    <cellStyle name="Hiperveza" xfId="535" builtinId="8" hidden="1"/>
    <cellStyle name="Hiperveza" xfId="537" builtinId="8" hidden="1"/>
    <cellStyle name="Hiperveza" xfId="539" builtinId="8" hidden="1"/>
    <cellStyle name="Hiperveza" xfId="541" builtinId="8" hidden="1"/>
    <cellStyle name="Hiperveza" xfId="543" builtinId="8" hidden="1"/>
    <cellStyle name="Hiperveza" xfId="545" builtinId="8" hidden="1"/>
    <cellStyle name="Hiperveza" xfId="547" builtinId="8" hidden="1"/>
    <cellStyle name="Hiperveza" xfId="549" builtinId="8" hidden="1"/>
    <cellStyle name="Hiperveza" xfId="551" builtinId="8" hidden="1"/>
    <cellStyle name="Hiperveza" xfId="553" builtinId="8" hidden="1"/>
    <cellStyle name="Hiperveza" xfId="555" builtinId="8" hidden="1"/>
    <cellStyle name="Hiperveza" xfId="557" builtinId="8" hidden="1"/>
    <cellStyle name="Hiperveza" xfId="559" builtinId="8" hidden="1"/>
    <cellStyle name="Hiperveza" xfId="561" builtinId="8" hidden="1"/>
    <cellStyle name="Hiperveza" xfId="563" builtinId="8" hidden="1"/>
    <cellStyle name="Hiperveza" xfId="565" builtinId="8" hidden="1"/>
    <cellStyle name="Hiperveza" xfId="567" builtinId="8" hidden="1"/>
    <cellStyle name="Hiperveza" xfId="569" builtinId="8" hidden="1"/>
    <cellStyle name="Hiperveza" xfId="571" builtinId="8" hidden="1"/>
    <cellStyle name="Hiperveza" xfId="573" builtinId="8" hidden="1"/>
    <cellStyle name="Hiperveza" xfId="575" builtinId="8" hidden="1"/>
    <cellStyle name="Hiperveza" xfId="577" builtinId="8" hidden="1"/>
    <cellStyle name="Hiperveza" xfId="579" builtinId="8" hidden="1"/>
    <cellStyle name="Hiperveza" xfId="581" builtinId="8" hidden="1"/>
    <cellStyle name="Hiperveza" xfId="583" builtinId="8" hidden="1"/>
    <cellStyle name="Hiperveza" xfId="585" builtinId="8" hidden="1"/>
    <cellStyle name="Hiperveza" xfId="587" builtinId="8" hidden="1"/>
    <cellStyle name="Hiperveza" xfId="589" builtinId="8" hidden="1"/>
    <cellStyle name="Hiperveza" xfId="591" builtinId="8" hidden="1"/>
    <cellStyle name="Hiperveza" xfId="593" builtinId="8" hidden="1"/>
    <cellStyle name="Hiperveza" xfId="595" builtinId="8" hidden="1"/>
    <cellStyle name="Hiperveza" xfId="597" builtinId="8" hidden="1"/>
    <cellStyle name="Hiperveza" xfId="599" builtinId="8" hidden="1"/>
    <cellStyle name="Hiperveza" xfId="601" builtinId="8" hidden="1"/>
    <cellStyle name="Hiperveza" xfId="603" builtinId="8" hidden="1"/>
    <cellStyle name="Hiperveza" xfId="605" builtinId="8" hidden="1"/>
    <cellStyle name="Hiperveza" xfId="607" builtinId="8" hidden="1"/>
    <cellStyle name="Hiperveza" xfId="609" builtinId="8" hidden="1"/>
    <cellStyle name="Hiperveza" xfId="611" builtinId="8" hidden="1"/>
    <cellStyle name="Hiperveza" xfId="613" builtinId="8" hidden="1"/>
    <cellStyle name="Hiperveza" xfId="615" builtinId="8" hidden="1"/>
    <cellStyle name="Hiperveza" xfId="617" builtinId="8" hidden="1"/>
    <cellStyle name="Hiperveza" xfId="619" builtinId="8" hidden="1"/>
    <cellStyle name="Hiperveza" xfId="621" builtinId="8" hidden="1"/>
    <cellStyle name="Hiperveza" xfId="623" builtinId="8" hidden="1"/>
    <cellStyle name="Hiperveza" xfId="625" builtinId="8" hidden="1"/>
    <cellStyle name="Hiperveza" xfId="627" builtinId="8" hidden="1"/>
    <cellStyle name="Hiperveza" xfId="629" builtinId="8" hidden="1"/>
    <cellStyle name="Hiperveza" xfId="631" builtinId="8" hidden="1"/>
    <cellStyle name="Hiperveza" xfId="633" builtinId="8" hidden="1"/>
    <cellStyle name="Hiperveza" xfId="635" builtinId="8" hidden="1"/>
    <cellStyle name="Hiperveza" xfId="637" builtinId="8" hidden="1"/>
    <cellStyle name="Hiperveza" xfId="639" builtinId="8" hidden="1"/>
    <cellStyle name="Hiperveza" xfId="641" builtinId="8" hidden="1"/>
    <cellStyle name="Hiperveza" xfId="643" builtinId="8" hidden="1"/>
    <cellStyle name="Hiperveza" xfId="645" builtinId="8" hidden="1"/>
    <cellStyle name="Hiperveza" xfId="647" builtinId="8" hidden="1"/>
    <cellStyle name="Hiperveza" xfId="649" builtinId="8" hidden="1"/>
    <cellStyle name="Hiperveza" xfId="651" builtinId="8" hidden="1"/>
    <cellStyle name="Hiperveza" xfId="653" builtinId="8" hidden="1"/>
    <cellStyle name="Hiperveza" xfId="655" builtinId="8" hidden="1"/>
    <cellStyle name="Hiperveza" xfId="657" builtinId="8" hidden="1"/>
    <cellStyle name="Hiperveza" xfId="659" builtinId="8" hidden="1"/>
    <cellStyle name="Hiperveza" xfId="661" builtinId="8" hidden="1"/>
    <cellStyle name="Hiperveza" xfId="663" builtinId="8" hidden="1"/>
    <cellStyle name="Hiperveza" xfId="665" builtinId="8" hidden="1"/>
    <cellStyle name="Hiperveza" xfId="667" builtinId="8" hidden="1"/>
    <cellStyle name="Hiperveza" xfId="669" builtinId="8" hidden="1"/>
    <cellStyle name="Hiperveza" xfId="671" builtinId="8" hidden="1"/>
    <cellStyle name="Hiperveza" xfId="673" builtinId="8" hidden="1"/>
    <cellStyle name="Hiperveza" xfId="675" builtinId="8" hidden="1"/>
    <cellStyle name="Hiperveza" xfId="680" builtinId="8" hidden="1"/>
    <cellStyle name="Hiperveza" xfId="682" builtinId="8" hidden="1"/>
    <cellStyle name="Hiperveza" xfId="684" builtinId="8" hidden="1"/>
    <cellStyle name="Hiperveza" xfId="686" builtinId="8" hidden="1"/>
    <cellStyle name="Hiperveza" xfId="688" builtinId="8" hidden="1"/>
    <cellStyle name="Hiperveza" xfId="690" builtinId="8" hidden="1"/>
    <cellStyle name="Hiperveza" xfId="692" builtinId="8" hidden="1"/>
    <cellStyle name="Hiperveza" xfId="694" builtinId="8" hidden="1"/>
    <cellStyle name="Hiperveza" xfId="696" builtinId="8" hidden="1"/>
    <cellStyle name="Hiperveza" xfId="698" builtinId="8" hidden="1"/>
    <cellStyle name="Hiperveza" xfId="700" builtinId="8" hidden="1"/>
    <cellStyle name="Hiperveza" xfId="702" builtinId="8" hidden="1"/>
    <cellStyle name="Hiperveza" xfId="704" builtinId="8" hidden="1"/>
    <cellStyle name="Hiperveza" xfId="706" builtinId="8" hidden="1"/>
    <cellStyle name="Hiperveza" xfId="708" builtinId="8" hidden="1"/>
    <cellStyle name="Hiperveza" xfId="710" builtinId="8" hidden="1"/>
    <cellStyle name="Hiperveza" xfId="712" builtinId="8" hidden="1"/>
    <cellStyle name="Hiperveza" xfId="714" builtinId="8" hidden="1"/>
    <cellStyle name="Hiperveza" xfId="716" builtinId="8" hidden="1"/>
    <cellStyle name="Hiperveza" xfId="718" builtinId="8" hidden="1"/>
    <cellStyle name="Hiperveza" xfId="720" builtinId="8" hidden="1"/>
    <cellStyle name="Hiperveza" xfId="722" builtinId="8" hidden="1"/>
    <cellStyle name="Hiperveza" xfId="724" builtinId="8" hidden="1"/>
    <cellStyle name="Hiperveza" xfId="726" builtinId="8" hidden="1"/>
    <cellStyle name="Hiperveza" xfId="728" builtinId="8" hidden="1"/>
    <cellStyle name="Hiperveza" xfId="730" builtinId="8" hidden="1"/>
    <cellStyle name="Hiperveza" xfId="732" builtinId="8" hidden="1"/>
    <cellStyle name="Hiperveza" xfId="734" builtinId="8" hidden="1"/>
    <cellStyle name="Hiperveza" xfId="736" builtinId="8" hidden="1"/>
    <cellStyle name="Hiperveza" xfId="738" builtinId="8" hidden="1"/>
    <cellStyle name="Hiperveza" xfId="740" builtinId="8" hidden="1"/>
    <cellStyle name="Hiperveza" xfId="742" builtinId="8" hidden="1"/>
    <cellStyle name="Hiperveza" xfId="744" builtinId="8" hidden="1"/>
    <cellStyle name="Hiperveza" xfId="746" builtinId="8" hidden="1"/>
    <cellStyle name="Hiperveza" xfId="748" builtinId="8" hidden="1"/>
    <cellStyle name="Hiperveza" xfId="750" builtinId="8" hidden="1"/>
    <cellStyle name="Hiperveza" xfId="752" builtinId="8" hidden="1"/>
    <cellStyle name="Hiperveza" xfId="754" builtinId="8" hidden="1"/>
    <cellStyle name="Hiperveza" xfId="756" builtinId="8" hidden="1"/>
    <cellStyle name="Hiperveza" xfId="758" builtinId="8" hidden="1"/>
    <cellStyle name="Hiperveza" xfId="760" builtinId="8" hidden="1"/>
    <cellStyle name="Hiperveza" xfId="762" builtinId="8" hidden="1"/>
    <cellStyle name="Hiperveza" xfId="764" builtinId="8" hidden="1"/>
    <cellStyle name="Hiperveza" xfId="766" builtinId="8" hidden="1"/>
    <cellStyle name="Hiperveza" xfId="768" builtinId="8" hidden="1"/>
    <cellStyle name="Hiperveza" xfId="770" builtinId="8" hidden="1"/>
    <cellStyle name="Hiperveza" xfId="772" builtinId="8" hidden="1"/>
    <cellStyle name="Hiperveza" xfId="774" builtinId="8" hidden="1"/>
    <cellStyle name="Hiperveza" xfId="776" builtinId="8" hidden="1"/>
    <cellStyle name="Hiperveza" xfId="778" builtinId="8" hidden="1"/>
    <cellStyle name="Hiperveza" xfId="780" builtinId="8" hidden="1"/>
    <cellStyle name="Hiperveza" xfId="782" builtinId="8" hidden="1"/>
    <cellStyle name="Hiperveza" xfId="784" builtinId="8" hidden="1"/>
    <cellStyle name="Hiperveza" xfId="786" builtinId="8" hidden="1"/>
    <cellStyle name="Hiperveza" xfId="788" builtinId="8" hidden="1"/>
    <cellStyle name="Hiperveza" xfId="790" builtinId="8" hidden="1"/>
    <cellStyle name="Hiperveza" xfId="792" builtinId="8" hidden="1"/>
    <cellStyle name="Hiperveza" xfId="794" builtinId="8" hidden="1"/>
    <cellStyle name="Hiperveza" xfId="796" builtinId="8" hidden="1"/>
    <cellStyle name="Hiperveza" xfId="798" builtinId="8" hidden="1"/>
    <cellStyle name="Hiperveza" xfId="800" builtinId="8" hidden="1"/>
    <cellStyle name="Hiperveza" xfId="802" builtinId="8" hidden="1"/>
    <cellStyle name="Hiperveza" xfId="804" builtinId="8" hidden="1"/>
    <cellStyle name="Hiperveza" xfId="806" builtinId="8" hidden="1"/>
    <cellStyle name="Hiperveza" xfId="808" builtinId="8" hidden="1"/>
    <cellStyle name="Hiperveza" xfId="810" builtinId="8" hidden="1"/>
    <cellStyle name="Hiperveza" xfId="812" builtinId="8" hidden="1"/>
    <cellStyle name="Hiperveza" xfId="814" builtinId="8" hidden="1"/>
    <cellStyle name="Hiperveza" xfId="816" builtinId="8" hidden="1"/>
    <cellStyle name="Hiperveza" xfId="818" builtinId="8" hidden="1"/>
    <cellStyle name="Hiperveza" xfId="820" builtinId="8" hidden="1"/>
    <cellStyle name="Hiperveza" xfId="822" builtinId="8" hidden="1"/>
    <cellStyle name="Hiperveza" xfId="824" builtinId="8" hidden="1"/>
    <cellStyle name="Hiperveza" xfId="826" builtinId="8" hidden="1"/>
    <cellStyle name="Hiperveza" xfId="828" builtinId="8" hidden="1"/>
    <cellStyle name="Hiperveza" xfId="830" builtinId="8" hidden="1"/>
    <cellStyle name="Hiperveza" xfId="832" builtinId="8" hidden="1"/>
    <cellStyle name="Hiperveza" xfId="834" builtinId="8" hidden="1"/>
    <cellStyle name="Hiperveza" xfId="836" builtinId="8" hidden="1"/>
    <cellStyle name="Hiperveza" xfId="838" builtinId="8" hidden="1"/>
    <cellStyle name="Hiperveza" xfId="840" builtinId="8" hidden="1"/>
    <cellStyle name="Hiperveza" xfId="842" builtinId="8" hidden="1"/>
    <cellStyle name="Hiperveza" xfId="844" builtinId="8" hidden="1"/>
    <cellStyle name="Hiperveza" xfId="846" builtinId="8" hidden="1"/>
    <cellStyle name="Hiperveza" xfId="848" builtinId="8" hidden="1"/>
    <cellStyle name="Hiperveza" xfId="850" builtinId="8" hidden="1"/>
    <cellStyle name="Hiperveza" xfId="852" builtinId="8" hidden="1"/>
    <cellStyle name="Hiperveza" xfId="854" builtinId="8" hidden="1"/>
    <cellStyle name="Hiperveza" xfId="856" builtinId="8" hidden="1"/>
    <cellStyle name="Hiperveza" xfId="858" builtinId="8" hidden="1"/>
    <cellStyle name="Hiperveza" xfId="860" builtinId="8" hidden="1"/>
    <cellStyle name="Hiperveza" xfId="862" builtinId="8" hidden="1"/>
    <cellStyle name="Hiperveza" xfId="864" builtinId="8" hidden="1"/>
    <cellStyle name="Hiperveza" xfId="866" builtinId="8" hidden="1"/>
    <cellStyle name="Hiperveza" xfId="868" builtinId="8" hidden="1"/>
    <cellStyle name="Hiperveza" xfId="870" builtinId="8" hidden="1"/>
    <cellStyle name="Hiperveza" xfId="872" builtinId="8" hidden="1"/>
    <cellStyle name="Hiperveza" xfId="874" builtinId="8" hidden="1"/>
    <cellStyle name="Hiperveza" xfId="876" builtinId="8" hidden="1"/>
    <cellStyle name="Hiperveza" xfId="878" builtinId="8" hidden="1"/>
    <cellStyle name="Hiperveza" xfId="880" builtinId="8" hidden="1"/>
    <cellStyle name="Hiperveza" xfId="882" builtinId="8" hidden="1"/>
    <cellStyle name="Hiperveza" xfId="884" builtinId="8" hidden="1"/>
    <cellStyle name="Hiperveza" xfId="886" builtinId="8" hidden="1"/>
    <cellStyle name="Hiperveza" xfId="888" builtinId="8" hidden="1"/>
    <cellStyle name="Hiperveza" xfId="890" builtinId="8" hidden="1"/>
    <cellStyle name="Hiperveza" xfId="892" builtinId="8" hidden="1"/>
    <cellStyle name="Hiperveza" xfId="894" builtinId="8" hidden="1"/>
    <cellStyle name="Hiperveza" xfId="896" builtinId="8" hidden="1"/>
    <cellStyle name="Hiperveza" xfId="898" builtinId="8" hidden="1"/>
    <cellStyle name="Hiperveza" xfId="900" builtinId="8" hidden="1"/>
    <cellStyle name="Hiperveza" xfId="902" builtinId="8" hidden="1"/>
    <cellStyle name="Hiperveza" xfId="904" builtinId="8" hidden="1"/>
    <cellStyle name="Hiperveza" xfId="906" builtinId="8" hidden="1"/>
    <cellStyle name="Hiperveza" xfId="908" builtinId="8" hidden="1"/>
    <cellStyle name="Hiperveza" xfId="910" builtinId="8" hidden="1"/>
    <cellStyle name="Hiperveza" xfId="912" builtinId="8" hidden="1"/>
    <cellStyle name="Hiperveza" xfId="914" builtinId="8" hidden="1"/>
    <cellStyle name="Hiperveza" xfId="916" builtinId="8" hidden="1"/>
    <cellStyle name="Hiperveza" xfId="918" builtinId="8" hidden="1"/>
    <cellStyle name="Hiperveza" xfId="920" builtinId="8" hidden="1"/>
    <cellStyle name="Hiperveza" xfId="922" builtinId="8" hidden="1"/>
    <cellStyle name="Hiperveza" xfId="924" builtinId="8" hidden="1"/>
    <cellStyle name="Hiperveza" xfId="926" builtinId="8" hidden="1"/>
    <cellStyle name="Hiperveza" xfId="928" builtinId="8" hidden="1"/>
    <cellStyle name="Hiperveza" xfId="930" builtinId="8" hidden="1"/>
    <cellStyle name="Hiperveza" xfId="932" builtinId="8" hidden="1"/>
    <cellStyle name="Hiperveza" xfId="934" builtinId="8" hidden="1"/>
    <cellStyle name="Hiperveza" xfId="936" builtinId="8" hidden="1"/>
    <cellStyle name="Hiperveza" xfId="938" builtinId="8" hidden="1"/>
    <cellStyle name="Hiperveza" xfId="940" builtinId="8" hidden="1"/>
    <cellStyle name="Hiperveza" xfId="942" builtinId="8" hidden="1"/>
    <cellStyle name="Hiperveza" xfId="944" builtinId="8" hidden="1"/>
    <cellStyle name="Hiperveza" xfId="946" builtinId="8" hidden="1"/>
    <cellStyle name="Hiperveza" xfId="948" builtinId="8" hidden="1"/>
    <cellStyle name="Hiperveza" xfId="950" builtinId="8" hidden="1"/>
    <cellStyle name="Hiperveza" xfId="952" builtinId="8" hidden="1"/>
    <cellStyle name="Ispraćena hiperveza" xfId="2" builtinId="9" hidden="1"/>
    <cellStyle name="Ispraćena hiperveza" xfId="4" builtinId="9" hidden="1"/>
    <cellStyle name="Ispraćena hiperveza" xfId="6" builtinId="9" hidden="1"/>
    <cellStyle name="Ispraćena hiperveza" xfId="8" builtinId="9" hidden="1"/>
    <cellStyle name="Ispraćena hiperveza" xfId="10" builtinId="9" hidden="1"/>
    <cellStyle name="Ispraćena hiperveza" xfId="12" builtinId="9" hidden="1"/>
    <cellStyle name="Ispraćena hiperveza" xfId="14" builtinId="9" hidden="1"/>
    <cellStyle name="Ispraćena hiperveza" xfId="16" builtinId="9" hidden="1"/>
    <cellStyle name="Ispraćena hiperveza" xfId="18" builtinId="9" hidden="1"/>
    <cellStyle name="Ispraćena hiperveza" xfId="20" builtinId="9" hidden="1"/>
    <cellStyle name="Ispraćena hiperveza" xfId="22" builtinId="9" hidden="1"/>
    <cellStyle name="Ispraćena hiperveza" xfId="24" builtinId="9" hidden="1"/>
    <cellStyle name="Ispraćena hiperveza" xfId="26" builtinId="9" hidden="1"/>
    <cellStyle name="Ispraćena hiperveza" xfId="28" builtinId="9" hidden="1"/>
    <cellStyle name="Ispraćena hiperveza" xfId="30" builtinId="9" hidden="1"/>
    <cellStyle name="Ispraćena hiperveza" xfId="32" builtinId="9" hidden="1"/>
    <cellStyle name="Ispraćena hiperveza" xfId="34" builtinId="9" hidden="1"/>
    <cellStyle name="Ispraćena hiperveza" xfId="36" builtinId="9" hidden="1"/>
    <cellStyle name="Ispraćena hiperveza" xfId="38" builtinId="9" hidden="1"/>
    <cellStyle name="Ispraćena hiperveza" xfId="40" builtinId="9" hidden="1"/>
    <cellStyle name="Ispraćena hiperveza" xfId="42" builtinId="9" hidden="1"/>
    <cellStyle name="Ispraćena hiperveza" xfId="44" builtinId="9" hidden="1"/>
    <cellStyle name="Ispraćena hiperveza" xfId="46" builtinId="9" hidden="1"/>
    <cellStyle name="Ispraćena hiperveza" xfId="48" builtinId="9" hidden="1"/>
    <cellStyle name="Ispraćena hiperveza" xfId="50" builtinId="9" hidden="1"/>
    <cellStyle name="Ispraćena hiperveza" xfId="52" builtinId="9" hidden="1"/>
    <cellStyle name="Ispraćena hiperveza" xfId="54" builtinId="9" hidden="1"/>
    <cellStyle name="Ispraćena hiperveza" xfId="56" builtinId="9" hidden="1"/>
    <cellStyle name="Ispraćena hiperveza" xfId="58" builtinId="9" hidden="1"/>
    <cellStyle name="Ispraćena hiperveza" xfId="60" builtinId="9" hidden="1"/>
    <cellStyle name="Ispraćena hiperveza" xfId="62" builtinId="9" hidden="1"/>
    <cellStyle name="Ispraćena hiperveza" xfId="64" builtinId="9" hidden="1"/>
    <cellStyle name="Ispraćena hiperveza" xfId="66" builtinId="9" hidden="1"/>
    <cellStyle name="Ispraćena hiperveza" xfId="68" builtinId="9" hidden="1"/>
    <cellStyle name="Ispraćena hiperveza" xfId="70" builtinId="9" hidden="1"/>
    <cellStyle name="Ispraćena hiperveza" xfId="72" builtinId="9" hidden="1"/>
    <cellStyle name="Ispraćena hiperveza" xfId="74" builtinId="9" hidden="1"/>
    <cellStyle name="Ispraćena hiperveza" xfId="76" builtinId="9" hidden="1"/>
    <cellStyle name="Ispraćena hiperveza" xfId="78" builtinId="9" hidden="1"/>
    <cellStyle name="Ispraćena hiperveza" xfId="80" builtinId="9" hidden="1"/>
    <cellStyle name="Ispraćena hiperveza" xfId="82" builtinId="9" hidden="1"/>
    <cellStyle name="Ispraćena hiperveza" xfId="84" builtinId="9" hidden="1"/>
    <cellStyle name="Ispraćena hiperveza" xfId="86" builtinId="9" hidden="1"/>
    <cellStyle name="Ispraćena hiperveza" xfId="88" builtinId="9" hidden="1"/>
    <cellStyle name="Ispraćena hiperveza" xfId="90" builtinId="9" hidden="1"/>
    <cellStyle name="Ispraćena hiperveza" xfId="92" builtinId="9" hidden="1"/>
    <cellStyle name="Ispraćena hiperveza" xfId="94" builtinId="9" hidden="1"/>
    <cellStyle name="Ispraćena hiperveza" xfId="96" builtinId="9" hidden="1"/>
    <cellStyle name="Ispraćena hiperveza" xfId="98" builtinId="9" hidden="1"/>
    <cellStyle name="Ispraćena hiperveza" xfId="100" builtinId="9" hidden="1"/>
    <cellStyle name="Ispraćena hiperveza" xfId="102" builtinId="9" hidden="1"/>
    <cellStyle name="Ispraćena hiperveza" xfId="104" builtinId="9" hidden="1"/>
    <cellStyle name="Ispraćena hiperveza" xfId="106" builtinId="9" hidden="1"/>
    <cellStyle name="Ispraćena hiperveza" xfId="108" builtinId="9" hidden="1"/>
    <cellStyle name="Ispraćena hiperveza" xfId="110" builtinId="9" hidden="1"/>
    <cellStyle name="Ispraćena hiperveza" xfId="112" builtinId="9" hidden="1"/>
    <cellStyle name="Ispraćena hiperveza" xfId="114" builtinId="9" hidden="1"/>
    <cellStyle name="Ispraćena hiperveza" xfId="116" builtinId="9" hidden="1"/>
    <cellStyle name="Ispraćena hiperveza" xfId="118" builtinId="9" hidden="1"/>
    <cellStyle name="Ispraćena hiperveza" xfId="120" builtinId="9" hidden="1"/>
    <cellStyle name="Ispraćena hiperveza" xfId="122" builtinId="9" hidden="1"/>
    <cellStyle name="Ispraćena hiperveza" xfId="124" builtinId="9" hidden="1"/>
    <cellStyle name="Ispraćena hiperveza" xfId="126" builtinId="9" hidden="1"/>
    <cellStyle name="Ispraćena hiperveza" xfId="128" builtinId="9" hidden="1"/>
    <cellStyle name="Ispraćena hiperveza" xfId="130" builtinId="9" hidden="1"/>
    <cellStyle name="Ispraćena hiperveza" xfId="132" builtinId="9" hidden="1"/>
    <cellStyle name="Ispraćena hiperveza" xfId="134" builtinId="9" hidden="1"/>
    <cellStyle name="Ispraćena hiperveza" xfId="136" builtinId="9" hidden="1"/>
    <cellStyle name="Ispraćena hiperveza" xfId="138" builtinId="9" hidden="1"/>
    <cellStyle name="Ispraćena hiperveza" xfId="140" builtinId="9" hidden="1"/>
    <cellStyle name="Ispraćena hiperveza" xfId="142" builtinId="9" hidden="1"/>
    <cellStyle name="Ispraćena hiperveza" xfId="144" builtinId="9" hidden="1"/>
    <cellStyle name="Ispraćena hiperveza" xfId="146" builtinId="9" hidden="1"/>
    <cellStyle name="Ispraćena hiperveza" xfId="148" builtinId="9" hidden="1"/>
    <cellStyle name="Ispraćena hiperveza" xfId="150" builtinId="9" hidden="1"/>
    <cellStyle name="Ispraćena hiperveza" xfId="152" builtinId="9" hidden="1"/>
    <cellStyle name="Ispraćena hiperveza" xfId="154" builtinId="9" hidden="1"/>
    <cellStyle name="Ispraćena hiperveza" xfId="156" builtinId="9" hidden="1"/>
    <cellStyle name="Ispraćena hiperveza" xfId="158" builtinId="9" hidden="1"/>
    <cellStyle name="Ispraćena hiperveza" xfId="160" builtinId="9" hidden="1"/>
    <cellStyle name="Ispraćena hiperveza" xfId="162" builtinId="9" hidden="1"/>
    <cellStyle name="Ispraćena hiperveza" xfId="164" builtinId="9" hidden="1"/>
    <cellStyle name="Ispraćena hiperveza" xfId="166" builtinId="9" hidden="1"/>
    <cellStyle name="Ispraćena hiperveza" xfId="168" builtinId="9" hidden="1"/>
    <cellStyle name="Ispraćena hiperveza" xfId="170" builtinId="9" hidden="1"/>
    <cellStyle name="Ispraćena hiperveza" xfId="172" builtinId="9" hidden="1"/>
    <cellStyle name="Ispraćena hiperveza" xfId="174" builtinId="9" hidden="1"/>
    <cellStyle name="Ispraćena hiperveza" xfId="176" builtinId="9" hidden="1"/>
    <cellStyle name="Ispraćena hiperveza" xfId="178" builtinId="9" hidden="1"/>
    <cellStyle name="Ispraćena hiperveza" xfId="180" builtinId="9" hidden="1"/>
    <cellStyle name="Ispraćena hiperveza" xfId="182" builtinId="9" hidden="1"/>
    <cellStyle name="Ispraćena hiperveza" xfId="184" builtinId="9" hidden="1"/>
    <cellStyle name="Ispraćena hiperveza" xfId="186" builtinId="9" hidden="1"/>
    <cellStyle name="Ispraćena hiperveza" xfId="188" builtinId="9" hidden="1"/>
    <cellStyle name="Ispraćena hiperveza" xfId="190" builtinId="9" hidden="1"/>
    <cellStyle name="Ispraćena hiperveza" xfId="192" builtinId="9" hidden="1"/>
    <cellStyle name="Ispraćena hiperveza" xfId="194" builtinId="9" hidden="1"/>
    <cellStyle name="Ispraćena hiperveza" xfId="196" builtinId="9" hidden="1"/>
    <cellStyle name="Ispraćena hiperveza" xfId="198" builtinId="9" hidden="1"/>
    <cellStyle name="Ispraćena hiperveza" xfId="200" builtinId="9" hidden="1"/>
    <cellStyle name="Ispraćena hiperveza" xfId="202" builtinId="9" hidden="1"/>
    <cellStyle name="Ispraćena hiperveza" xfId="204" builtinId="9" hidden="1"/>
    <cellStyle name="Ispraćena hiperveza" xfId="206" builtinId="9" hidden="1"/>
    <cellStyle name="Ispraćena hiperveza" xfId="208" builtinId="9" hidden="1"/>
    <cellStyle name="Ispraćena hiperveza" xfId="210" builtinId="9" hidden="1"/>
    <cellStyle name="Ispraćena hiperveza" xfId="212" builtinId="9" hidden="1"/>
    <cellStyle name="Ispraćena hiperveza" xfId="214" builtinId="9" hidden="1"/>
    <cellStyle name="Ispraćena hiperveza" xfId="216" builtinId="9" hidden="1"/>
    <cellStyle name="Ispraćena hiperveza" xfId="218" builtinId="9" hidden="1"/>
    <cellStyle name="Ispraćena hiperveza" xfId="220" builtinId="9" hidden="1"/>
    <cellStyle name="Ispraćena hiperveza" xfId="222" builtinId="9" hidden="1"/>
    <cellStyle name="Ispraćena hiperveza" xfId="224" builtinId="9" hidden="1"/>
    <cellStyle name="Ispraćena hiperveza" xfId="226" builtinId="9" hidden="1"/>
    <cellStyle name="Ispraćena hiperveza" xfId="228" builtinId="9" hidden="1"/>
    <cellStyle name="Ispraćena hiperveza" xfId="230" builtinId="9" hidden="1"/>
    <cellStyle name="Ispraćena hiperveza" xfId="232" builtinId="9" hidden="1"/>
    <cellStyle name="Ispraćena hiperveza" xfId="234" builtinId="9" hidden="1"/>
    <cellStyle name="Ispraćena hiperveza" xfId="236" builtinId="9" hidden="1"/>
    <cellStyle name="Ispraćena hiperveza" xfId="238" builtinId="9" hidden="1"/>
    <cellStyle name="Ispraćena hiperveza" xfId="240" builtinId="9" hidden="1"/>
    <cellStyle name="Ispraćena hiperveza" xfId="242" builtinId="9" hidden="1"/>
    <cellStyle name="Ispraćena hiperveza" xfId="244" builtinId="9" hidden="1"/>
    <cellStyle name="Ispraćena hiperveza" xfId="246" builtinId="9" hidden="1"/>
    <cellStyle name="Ispraćena hiperveza" xfId="248" builtinId="9" hidden="1"/>
    <cellStyle name="Ispraćena hiperveza" xfId="250" builtinId="9" hidden="1"/>
    <cellStyle name="Ispraćena hiperveza" xfId="252" builtinId="9" hidden="1"/>
    <cellStyle name="Ispraćena hiperveza" xfId="254" builtinId="9" hidden="1"/>
    <cellStyle name="Ispraćena hiperveza" xfId="256" builtinId="9" hidden="1"/>
    <cellStyle name="Ispraćena hiperveza" xfId="258" builtinId="9" hidden="1"/>
    <cellStyle name="Ispraćena hiperveza" xfId="260" builtinId="9" hidden="1"/>
    <cellStyle name="Ispraćena hiperveza" xfId="262" builtinId="9" hidden="1"/>
    <cellStyle name="Ispraćena hiperveza" xfId="264" builtinId="9" hidden="1"/>
    <cellStyle name="Ispraćena hiperveza" xfId="266" builtinId="9" hidden="1"/>
    <cellStyle name="Ispraćena hiperveza" xfId="268" builtinId="9" hidden="1"/>
    <cellStyle name="Ispraćena hiperveza" xfId="270" builtinId="9" hidden="1"/>
    <cellStyle name="Ispraćena hiperveza" xfId="272" builtinId="9" hidden="1"/>
    <cellStyle name="Ispraćena hiperveza" xfId="274" builtinId="9" hidden="1"/>
    <cellStyle name="Ispraćena hiperveza" xfId="276" builtinId="9" hidden="1"/>
    <cellStyle name="Ispraćena hiperveza" xfId="278" builtinId="9" hidden="1"/>
    <cellStyle name="Ispraćena hiperveza" xfId="280" builtinId="9" hidden="1"/>
    <cellStyle name="Ispraćena hiperveza" xfId="282" builtinId="9" hidden="1"/>
    <cellStyle name="Ispraćena hiperveza" xfId="284" builtinId="9" hidden="1"/>
    <cellStyle name="Ispraćena hiperveza" xfId="286" builtinId="9" hidden="1"/>
    <cellStyle name="Ispraćena hiperveza" xfId="288" builtinId="9" hidden="1"/>
    <cellStyle name="Ispraćena hiperveza" xfId="290" builtinId="9" hidden="1"/>
    <cellStyle name="Ispraćena hiperveza" xfId="292" builtinId="9" hidden="1"/>
    <cellStyle name="Ispraćena hiperveza" xfId="294" builtinId="9" hidden="1"/>
    <cellStyle name="Ispraćena hiperveza" xfId="296" builtinId="9" hidden="1"/>
    <cellStyle name="Ispraćena hiperveza" xfId="298" builtinId="9" hidden="1"/>
    <cellStyle name="Ispraćena hiperveza" xfId="300" builtinId="9" hidden="1"/>
    <cellStyle name="Ispraćena hiperveza" xfId="302" builtinId="9" hidden="1"/>
    <cellStyle name="Ispraćena hiperveza" xfId="304" builtinId="9" hidden="1"/>
    <cellStyle name="Ispraćena hiperveza" xfId="306" builtinId="9" hidden="1"/>
    <cellStyle name="Ispraćena hiperveza" xfId="308" builtinId="9" hidden="1"/>
    <cellStyle name="Ispraćena hiperveza" xfId="310" builtinId="9" hidden="1"/>
    <cellStyle name="Ispraćena hiperveza" xfId="312" builtinId="9" hidden="1"/>
    <cellStyle name="Ispraćena hiperveza" xfId="314" builtinId="9" hidden="1"/>
    <cellStyle name="Ispraćena hiperveza" xfId="316" builtinId="9" hidden="1"/>
    <cellStyle name="Ispraćena hiperveza" xfId="318" builtinId="9" hidden="1"/>
    <cellStyle name="Ispraćena hiperveza" xfId="320" builtinId="9" hidden="1"/>
    <cellStyle name="Ispraćena hiperveza" xfId="322" builtinId="9" hidden="1"/>
    <cellStyle name="Ispraćena hiperveza" xfId="324" builtinId="9" hidden="1"/>
    <cellStyle name="Ispraćena hiperveza" xfId="326" builtinId="9" hidden="1"/>
    <cellStyle name="Ispraćena hiperveza" xfId="328" builtinId="9" hidden="1"/>
    <cellStyle name="Ispraćena hiperveza" xfId="330" builtinId="9" hidden="1"/>
    <cellStyle name="Ispraćena hiperveza" xfId="332" builtinId="9" hidden="1"/>
    <cellStyle name="Ispraćena hiperveza" xfId="334" builtinId="9" hidden="1"/>
    <cellStyle name="Ispraćena hiperveza" xfId="336" builtinId="9" hidden="1"/>
    <cellStyle name="Ispraćena hiperveza" xfId="338" builtinId="9" hidden="1"/>
    <cellStyle name="Ispraćena hiperveza" xfId="340" builtinId="9" hidden="1"/>
    <cellStyle name="Ispraćena hiperveza" xfId="342" builtinId="9" hidden="1"/>
    <cellStyle name="Ispraćena hiperveza" xfId="344" builtinId="9" hidden="1"/>
    <cellStyle name="Ispraćena hiperveza" xfId="346" builtinId="9" hidden="1"/>
    <cellStyle name="Ispraćena hiperveza" xfId="348" builtinId="9" hidden="1"/>
    <cellStyle name="Ispraćena hiperveza" xfId="350" builtinId="9" hidden="1"/>
    <cellStyle name="Ispraćena hiperveza" xfId="352" builtinId="9" hidden="1"/>
    <cellStyle name="Ispraćena hiperveza" xfId="354" builtinId="9" hidden="1"/>
    <cellStyle name="Ispraćena hiperveza" xfId="356" builtinId="9" hidden="1"/>
    <cellStyle name="Ispraćena hiperveza" xfId="358" builtinId="9" hidden="1"/>
    <cellStyle name="Ispraćena hiperveza" xfId="360" builtinId="9" hidden="1"/>
    <cellStyle name="Ispraćena hiperveza" xfId="362" builtinId="9" hidden="1"/>
    <cellStyle name="Ispraćena hiperveza" xfId="364" builtinId="9" hidden="1"/>
    <cellStyle name="Ispraćena hiperveza" xfId="366" builtinId="9" hidden="1"/>
    <cellStyle name="Ispraćena hiperveza" xfId="368" builtinId="9" hidden="1"/>
    <cellStyle name="Ispraćena hiperveza" xfId="370" builtinId="9" hidden="1"/>
    <cellStyle name="Ispraćena hiperveza" xfId="372" builtinId="9" hidden="1"/>
    <cellStyle name="Ispraćena hiperveza" xfId="374" builtinId="9" hidden="1"/>
    <cellStyle name="Ispraćena hiperveza" xfId="376" builtinId="9" hidden="1"/>
    <cellStyle name="Ispraćena hiperveza" xfId="378" builtinId="9" hidden="1"/>
    <cellStyle name="Ispraćena hiperveza" xfId="380" builtinId="9" hidden="1"/>
    <cellStyle name="Ispraćena hiperveza" xfId="382" builtinId="9" hidden="1"/>
    <cellStyle name="Ispraćena hiperveza" xfId="384" builtinId="9" hidden="1"/>
    <cellStyle name="Ispraćena hiperveza" xfId="386" builtinId="9" hidden="1"/>
    <cellStyle name="Ispraćena hiperveza" xfId="388" builtinId="9" hidden="1"/>
    <cellStyle name="Ispraćena hiperveza" xfId="390" builtinId="9" hidden="1"/>
    <cellStyle name="Ispraćena hiperveza" xfId="392" builtinId="9" hidden="1"/>
    <cellStyle name="Ispraćena hiperveza" xfId="394" builtinId="9" hidden="1"/>
    <cellStyle name="Ispraćena hiperveza" xfId="396" builtinId="9" hidden="1"/>
    <cellStyle name="Ispraćena hiperveza" xfId="398" builtinId="9" hidden="1"/>
    <cellStyle name="Ispraćena hiperveza" xfId="400" builtinId="9" hidden="1"/>
    <cellStyle name="Ispraćena hiperveza" xfId="402" builtinId="9" hidden="1"/>
    <cellStyle name="Ispraćena hiperveza" xfId="404" builtinId="9" hidden="1"/>
    <cellStyle name="Ispraćena hiperveza" xfId="406" builtinId="9" hidden="1"/>
    <cellStyle name="Ispraćena hiperveza" xfId="408" builtinId="9" hidden="1"/>
    <cellStyle name="Ispraćena hiperveza" xfId="410" builtinId="9" hidden="1"/>
    <cellStyle name="Ispraćena hiperveza" xfId="412" builtinId="9" hidden="1"/>
    <cellStyle name="Ispraćena hiperveza" xfId="414" builtinId="9" hidden="1"/>
    <cellStyle name="Ispraćena hiperveza" xfId="416" builtinId="9" hidden="1"/>
    <cellStyle name="Ispraćena hiperveza" xfId="418" builtinId="9" hidden="1"/>
    <cellStyle name="Ispraćena hiperveza" xfId="420" builtinId="9" hidden="1"/>
    <cellStyle name="Ispraćena hiperveza" xfId="422" builtinId="9" hidden="1"/>
    <cellStyle name="Ispraćena hiperveza" xfId="424" builtinId="9" hidden="1"/>
    <cellStyle name="Ispraćena hiperveza" xfId="426" builtinId="9" hidden="1"/>
    <cellStyle name="Ispraćena hiperveza" xfId="428" builtinId="9" hidden="1"/>
    <cellStyle name="Ispraćena hiperveza" xfId="430" builtinId="9" hidden="1"/>
    <cellStyle name="Ispraćena hiperveza" xfId="432" builtinId="9" hidden="1"/>
    <cellStyle name="Ispraćena hiperveza" xfId="434" builtinId="9" hidden="1"/>
    <cellStyle name="Ispraćena hiperveza" xfId="436" builtinId="9" hidden="1"/>
    <cellStyle name="Ispraćena hiperveza" xfId="438" builtinId="9" hidden="1"/>
    <cellStyle name="Ispraćena hiperveza" xfId="440" builtinId="9" hidden="1"/>
    <cellStyle name="Ispraćena hiperveza" xfId="442" builtinId="9" hidden="1"/>
    <cellStyle name="Ispraćena hiperveza" xfId="444" builtinId="9" hidden="1"/>
    <cellStyle name="Ispraćena hiperveza" xfId="446" builtinId="9" hidden="1"/>
    <cellStyle name="Ispraćena hiperveza" xfId="448" builtinId="9" hidden="1"/>
    <cellStyle name="Ispraćena hiperveza" xfId="450" builtinId="9" hidden="1"/>
    <cellStyle name="Ispraćena hiperveza" xfId="452" builtinId="9" hidden="1"/>
    <cellStyle name="Ispraćena hiperveza" xfId="454" builtinId="9" hidden="1"/>
    <cellStyle name="Ispraćena hiperveza" xfId="456" builtinId="9" hidden="1"/>
    <cellStyle name="Ispraćena hiperveza" xfId="462" builtinId="9" hidden="1"/>
    <cellStyle name="Ispraćena hiperveza" xfId="464" builtinId="9" hidden="1"/>
    <cellStyle name="Ispraćena hiperveza" xfId="466" builtinId="9" hidden="1"/>
    <cellStyle name="Ispraćena hiperveza" xfId="468" builtinId="9" hidden="1"/>
    <cellStyle name="Ispraćena hiperveza" xfId="470" builtinId="9" hidden="1"/>
    <cellStyle name="Ispraćena hiperveza" xfId="472" builtinId="9" hidden="1"/>
    <cellStyle name="Ispraćena hiperveza" xfId="474" builtinId="9" hidden="1"/>
    <cellStyle name="Ispraćena hiperveza" xfId="476" builtinId="9" hidden="1"/>
    <cellStyle name="Ispraćena hiperveza" xfId="478" builtinId="9" hidden="1"/>
    <cellStyle name="Ispraćena hiperveza" xfId="480" builtinId="9" hidden="1"/>
    <cellStyle name="Ispraćena hiperveza" xfId="482" builtinId="9" hidden="1"/>
    <cellStyle name="Ispraćena hiperveza" xfId="484" builtinId="9" hidden="1"/>
    <cellStyle name="Ispraćena hiperveza" xfId="486" builtinId="9" hidden="1"/>
    <cellStyle name="Ispraćena hiperveza" xfId="488" builtinId="9" hidden="1"/>
    <cellStyle name="Ispraćena hiperveza" xfId="490" builtinId="9" hidden="1"/>
    <cellStyle name="Ispraćena hiperveza" xfId="492" builtinId="9" hidden="1"/>
    <cellStyle name="Ispraćena hiperveza" xfId="494" builtinId="9" hidden="1"/>
    <cellStyle name="Ispraćena hiperveza" xfId="496" builtinId="9" hidden="1"/>
    <cellStyle name="Ispraćena hiperveza" xfId="498" builtinId="9" hidden="1"/>
    <cellStyle name="Ispraćena hiperveza" xfId="500" builtinId="9" hidden="1"/>
    <cellStyle name="Ispraćena hiperveza" xfId="502" builtinId="9" hidden="1"/>
    <cellStyle name="Ispraćena hiperveza" xfId="504" builtinId="9" hidden="1"/>
    <cellStyle name="Ispraćena hiperveza" xfId="506" builtinId="9" hidden="1"/>
    <cellStyle name="Ispraćena hiperveza" xfId="508" builtinId="9" hidden="1"/>
    <cellStyle name="Ispraćena hiperveza" xfId="510" builtinId="9" hidden="1"/>
    <cellStyle name="Ispraćena hiperveza" xfId="512" builtinId="9" hidden="1"/>
    <cellStyle name="Ispraćena hiperveza" xfId="514" builtinId="9" hidden="1"/>
    <cellStyle name="Ispraćena hiperveza" xfId="516" builtinId="9" hidden="1"/>
    <cellStyle name="Ispraćena hiperveza" xfId="518" builtinId="9" hidden="1"/>
    <cellStyle name="Ispraćena hiperveza" xfId="520" builtinId="9" hidden="1"/>
    <cellStyle name="Ispraćena hiperveza" xfId="522" builtinId="9" hidden="1"/>
    <cellStyle name="Ispraćena hiperveza" xfId="524" builtinId="9" hidden="1"/>
    <cellStyle name="Ispraćena hiperveza" xfId="526" builtinId="9" hidden="1"/>
    <cellStyle name="Ispraćena hiperveza" xfId="528" builtinId="9" hidden="1"/>
    <cellStyle name="Ispraćena hiperveza" xfId="530" builtinId="9" hidden="1"/>
    <cellStyle name="Ispraćena hiperveza" xfId="532" builtinId="9" hidden="1"/>
    <cellStyle name="Ispraćena hiperveza" xfId="534" builtinId="9" hidden="1"/>
    <cellStyle name="Ispraćena hiperveza" xfId="536" builtinId="9" hidden="1"/>
    <cellStyle name="Ispraćena hiperveza" xfId="538" builtinId="9" hidden="1"/>
    <cellStyle name="Ispraćena hiperveza" xfId="540" builtinId="9" hidden="1"/>
    <cellStyle name="Ispraćena hiperveza" xfId="542" builtinId="9" hidden="1"/>
    <cellStyle name="Ispraćena hiperveza" xfId="544" builtinId="9" hidden="1"/>
    <cellStyle name="Ispraćena hiperveza" xfId="546" builtinId="9" hidden="1"/>
    <cellStyle name="Ispraćena hiperveza" xfId="548" builtinId="9" hidden="1"/>
    <cellStyle name="Ispraćena hiperveza" xfId="550" builtinId="9" hidden="1"/>
    <cellStyle name="Ispraćena hiperveza" xfId="552" builtinId="9" hidden="1"/>
    <cellStyle name="Ispraćena hiperveza" xfId="554" builtinId="9" hidden="1"/>
    <cellStyle name="Ispraćena hiperveza" xfId="556" builtinId="9" hidden="1"/>
    <cellStyle name="Ispraćena hiperveza" xfId="558" builtinId="9" hidden="1"/>
    <cellStyle name="Ispraćena hiperveza" xfId="560" builtinId="9" hidden="1"/>
    <cellStyle name="Ispraćena hiperveza" xfId="562" builtinId="9" hidden="1"/>
    <cellStyle name="Ispraćena hiperveza" xfId="564" builtinId="9" hidden="1"/>
    <cellStyle name="Ispraćena hiperveza" xfId="566" builtinId="9" hidden="1"/>
    <cellStyle name="Ispraćena hiperveza" xfId="568" builtinId="9" hidden="1"/>
    <cellStyle name="Ispraćena hiperveza" xfId="570" builtinId="9" hidden="1"/>
    <cellStyle name="Ispraćena hiperveza" xfId="572" builtinId="9" hidden="1"/>
    <cellStyle name="Ispraćena hiperveza" xfId="574" builtinId="9" hidden="1"/>
    <cellStyle name="Ispraćena hiperveza" xfId="576" builtinId="9" hidden="1"/>
    <cellStyle name="Ispraćena hiperveza" xfId="578" builtinId="9" hidden="1"/>
    <cellStyle name="Ispraćena hiperveza" xfId="580" builtinId="9" hidden="1"/>
    <cellStyle name="Ispraćena hiperveza" xfId="582" builtinId="9" hidden="1"/>
    <cellStyle name="Ispraćena hiperveza" xfId="584" builtinId="9" hidden="1"/>
    <cellStyle name="Ispraćena hiperveza" xfId="586" builtinId="9" hidden="1"/>
    <cellStyle name="Ispraćena hiperveza" xfId="588" builtinId="9" hidden="1"/>
    <cellStyle name="Ispraćena hiperveza" xfId="590" builtinId="9" hidden="1"/>
    <cellStyle name="Ispraćena hiperveza" xfId="592" builtinId="9" hidden="1"/>
    <cellStyle name="Ispraćena hiperveza" xfId="594" builtinId="9" hidden="1"/>
    <cellStyle name="Ispraćena hiperveza" xfId="596" builtinId="9" hidden="1"/>
    <cellStyle name="Ispraćena hiperveza" xfId="598" builtinId="9" hidden="1"/>
    <cellStyle name="Ispraćena hiperveza" xfId="600" builtinId="9" hidden="1"/>
    <cellStyle name="Ispraćena hiperveza" xfId="602" builtinId="9" hidden="1"/>
    <cellStyle name="Ispraćena hiperveza" xfId="604" builtinId="9" hidden="1"/>
    <cellStyle name="Ispraćena hiperveza" xfId="606" builtinId="9" hidden="1"/>
    <cellStyle name="Ispraćena hiperveza" xfId="608" builtinId="9" hidden="1"/>
    <cellStyle name="Ispraćena hiperveza" xfId="610" builtinId="9" hidden="1"/>
    <cellStyle name="Ispraćena hiperveza" xfId="612" builtinId="9" hidden="1"/>
    <cellStyle name="Ispraćena hiperveza" xfId="614" builtinId="9" hidden="1"/>
    <cellStyle name="Ispraćena hiperveza" xfId="616" builtinId="9" hidden="1"/>
    <cellStyle name="Ispraćena hiperveza" xfId="618" builtinId="9" hidden="1"/>
    <cellStyle name="Ispraćena hiperveza" xfId="620" builtinId="9" hidden="1"/>
    <cellStyle name="Ispraćena hiperveza" xfId="622" builtinId="9" hidden="1"/>
    <cellStyle name="Ispraćena hiperveza" xfId="624" builtinId="9" hidden="1"/>
    <cellStyle name="Ispraćena hiperveza" xfId="626" builtinId="9" hidden="1"/>
    <cellStyle name="Ispraćena hiperveza" xfId="628" builtinId="9" hidden="1"/>
    <cellStyle name="Ispraćena hiperveza" xfId="630" builtinId="9" hidden="1"/>
    <cellStyle name="Ispraćena hiperveza" xfId="632" builtinId="9" hidden="1"/>
    <cellStyle name="Ispraćena hiperveza" xfId="634" builtinId="9" hidden="1"/>
    <cellStyle name="Ispraćena hiperveza" xfId="636" builtinId="9" hidden="1"/>
    <cellStyle name="Ispraćena hiperveza" xfId="638" builtinId="9" hidden="1"/>
    <cellStyle name="Ispraćena hiperveza" xfId="640" builtinId="9" hidden="1"/>
    <cellStyle name="Ispraćena hiperveza" xfId="642" builtinId="9" hidden="1"/>
    <cellStyle name="Ispraćena hiperveza" xfId="644" builtinId="9" hidden="1"/>
    <cellStyle name="Ispraćena hiperveza" xfId="646" builtinId="9" hidden="1"/>
    <cellStyle name="Ispraćena hiperveza" xfId="648" builtinId="9" hidden="1"/>
    <cellStyle name="Ispraćena hiperveza" xfId="650" builtinId="9" hidden="1"/>
    <cellStyle name="Ispraćena hiperveza" xfId="652" builtinId="9" hidden="1"/>
    <cellStyle name="Ispraćena hiperveza" xfId="654" builtinId="9" hidden="1"/>
    <cellStyle name="Ispraćena hiperveza" xfId="656" builtinId="9" hidden="1"/>
    <cellStyle name="Ispraćena hiperveza" xfId="658" builtinId="9" hidden="1"/>
    <cellStyle name="Ispraćena hiperveza" xfId="660" builtinId="9" hidden="1"/>
    <cellStyle name="Ispraćena hiperveza" xfId="662" builtinId="9" hidden="1"/>
    <cellStyle name="Ispraćena hiperveza" xfId="664" builtinId="9" hidden="1"/>
    <cellStyle name="Ispraćena hiperveza" xfId="666" builtinId="9" hidden="1"/>
    <cellStyle name="Ispraćena hiperveza" xfId="668" builtinId="9" hidden="1"/>
    <cellStyle name="Ispraćena hiperveza" xfId="670" builtinId="9" hidden="1"/>
    <cellStyle name="Ispraćena hiperveza" xfId="672" builtinId="9" hidden="1"/>
    <cellStyle name="Ispraćena hiperveza" xfId="674" builtinId="9" hidden="1"/>
    <cellStyle name="Ispraćena hiperveza" xfId="676" builtinId="9" hidden="1"/>
    <cellStyle name="Ispraćena hiperveza" xfId="677" builtinId="9" hidden="1"/>
    <cellStyle name="Ispraćena hiperveza" xfId="678" builtinId="9" hidden="1"/>
    <cellStyle name="Ispraćena hiperveza" xfId="679" builtinId="9" hidden="1"/>
    <cellStyle name="Ispraćena hiperveza" xfId="681" builtinId="9" hidden="1"/>
    <cellStyle name="Ispraćena hiperveza" xfId="683" builtinId="9" hidden="1"/>
    <cellStyle name="Ispraćena hiperveza" xfId="685" builtinId="9" hidden="1"/>
    <cellStyle name="Ispraćena hiperveza" xfId="687" builtinId="9" hidden="1"/>
    <cellStyle name="Ispraćena hiperveza" xfId="689" builtinId="9" hidden="1"/>
    <cellStyle name="Ispraćena hiperveza" xfId="691" builtinId="9" hidden="1"/>
    <cellStyle name="Ispraćena hiperveza" xfId="693" builtinId="9" hidden="1"/>
    <cellStyle name="Ispraćena hiperveza" xfId="695" builtinId="9" hidden="1"/>
    <cellStyle name="Ispraćena hiperveza" xfId="697" builtinId="9" hidden="1"/>
    <cellStyle name="Ispraćena hiperveza" xfId="699" builtinId="9" hidden="1"/>
    <cellStyle name="Ispraćena hiperveza" xfId="701" builtinId="9" hidden="1"/>
    <cellStyle name="Ispraćena hiperveza" xfId="703" builtinId="9" hidden="1"/>
    <cellStyle name="Ispraćena hiperveza" xfId="705" builtinId="9" hidden="1"/>
    <cellStyle name="Ispraćena hiperveza" xfId="707" builtinId="9" hidden="1"/>
    <cellStyle name="Ispraćena hiperveza" xfId="709" builtinId="9" hidden="1"/>
    <cellStyle name="Ispraćena hiperveza" xfId="711" builtinId="9" hidden="1"/>
    <cellStyle name="Ispraćena hiperveza" xfId="713" builtinId="9" hidden="1"/>
    <cellStyle name="Ispraćena hiperveza" xfId="715" builtinId="9" hidden="1"/>
    <cellStyle name="Ispraćena hiperveza" xfId="717" builtinId="9" hidden="1"/>
    <cellStyle name="Ispraćena hiperveza" xfId="719" builtinId="9" hidden="1"/>
    <cellStyle name="Ispraćena hiperveza" xfId="721" builtinId="9" hidden="1"/>
    <cellStyle name="Ispraćena hiperveza" xfId="723" builtinId="9" hidden="1"/>
    <cellStyle name="Ispraćena hiperveza" xfId="725" builtinId="9" hidden="1"/>
    <cellStyle name="Ispraćena hiperveza" xfId="727" builtinId="9" hidden="1"/>
    <cellStyle name="Ispraćena hiperveza" xfId="729" builtinId="9" hidden="1"/>
    <cellStyle name="Ispraćena hiperveza" xfId="731" builtinId="9" hidden="1"/>
    <cellStyle name="Ispraćena hiperveza" xfId="733" builtinId="9" hidden="1"/>
    <cellStyle name="Ispraćena hiperveza" xfId="735" builtinId="9" hidden="1"/>
    <cellStyle name="Ispraćena hiperveza" xfId="737" builtinId="9" hidden="1"/>
    <cellStyle name="Ispraćena hiperveza" xfId="739" builtinId="9" hidden="1"/>
    <cellStyle name="Ispraćena hiperveza" xfId="741" builtinId="9" hidden="1"/>
    <cellStyle name="Ispraćena hiperveza" xfId="743" builtinId="9" hidden="1"/>
    <cellStyle name="Ispraćena hiperveza" xfId="745" builtinId="9" hidden="1"/>
    <cellStyle name="Ispraćena hiperveza" xfId="747" builtinId="9" hidden="1"/>
    <cellStyle name="Ispraćena hiperveza" xfId="749" builtinId="9" hidden="1"/>
    <cellStyle name="Ispraćena hiperveza" xfId="751" builtinId="9" hidden="1"/>
    <cellStyle name="Ispraćena hiperveza" xfId="753" builtinId="9" hidden="1"/>
    <cellStyle name="Ispraćena hiperveza" xfId="755" builtinId="9" hidden="1"/>
    <cellStyle name="Ispraćena hiperveza" xfId="757" builtinId="9" hidden="1"/>
    <cellStyle name="Ispraćena hiperveza" xfId="759" builtinId="9" hidden="1"/>
    <cellStyle name="Ispraćena hiperveza" xfId="761" builtinId="9" hidden="1"/>
    <cellStyle name="Ispraćena hiperveza" xfId="763" builtinId="9" hidden="1"/>
    <cellStyle name="Ispraćena hiperveza" xfId="765" builtinId="9" hidden="1"/>
    <cellStyle name="Ispraćena hiperveza" xfId="767" builtinId="9" hidden="1"/>
    <cellStyle name="Ispraćena hiperveza" xfId="769" builtinId="9" hidden="1"/>
    <cellStyle name="Ispraćena hiperveza" xfId="771" builtinId="9" hidden="1"/>
    <cellStyle name="Ispraćena hiperveza" xfId="773" builtinId="9" hidden="1"/>
    <cellStyle name="Ispraćena hiperveza" xfId="775" builtinId="9" hidden="1"/>
    <cellStyle name="Ispraćena hiperveza" xfId="777" builtinId="9" hidden="1"/>
    <cellStyle name="Ispraćena hiperveza" xfId="779" builtinId="9" hidden="1"/>
    <cellStyle name="Ispraćena hiperveza" xfId="781" builtinId="9" hidden="1"/>
    <cellStyle name="Ispraćena hiperveza" xfId="783" builtinId="9" hidden="1"/>
    <cellStyle name="Ispraćena hiperveza" xfId="785" builtinId="9" hidden="1"/>
    <cellStyle name="Ispraćena hiperveza" xfId="787" builtinId="9" hidden="1"/>
    <cellStyle name="Ispraćena hiperveza" xfId="789" builtinId="9" hidden="1"/>
    <cellStyle name="Ispraćena hiperveza" xfId="791" builtinId="9" hidden="1"/>
    <cellStyle name="Ispraćena hiperveza" xfId="793" builtinId="9" hidden="1"/>
    <cellStyle name="Ispraćena hiperveza" xfId="795" builtinId="9" hidden="1"/>
    <cellStyle name="Ispraćena hiperveza" xfId="797" builtinId="9" hidden="1"/>
    <cellStyle name="Ispraćena hiperveza" xfId="799" builtinId="9" hidden="1"/>
    <cellStyle name="Ispraćena hiperveza" xfId="801" builtinId="9" hidden="1"/>
    <cellStyle name="Ispraćena hiperveza" xfId="803" builtinId="9" hidden="1"/>
    <cellStyle name="Ispraćena hiperveza" xfId="805" builtinId="9" hidden="1"/>
    <cellStyle name="Ispraćena hiperveza" xfId="807" builtinId="9" hidden="1"/>
    <cellStyle name="Ispraćena hiperveza" xfId="809" builtinId="9" hidden="1"/>
    <cellStyle name="Ispraćena hiperveza" xfId="811" builtinId="9" hidden="1"/>
    <cellStyle name="Ispraćena hiperveza" xfId="813" builtinId="9" hidden="1"/>
    <cellStyle name="Ispraćena hiperveza" xfId="815" builtinId="9" hidden="1"/>
    <cellStyle name="Ispraćena hiperveza" xfId="817" builtinId="9" hidden="1"/>
    <cellStyle name="Ispraćena hiperveza" xfId="819" builtinId="9" hidden="1"/>
    <cellStyle name="Ispraćena hiperveza" xfId="821" builtinId="9" hidden="1"/>
    <cellStyle name="Ispraćena hiperveza" xfId="823" builtinId="9" hidden="1"/>
    <cellStyle name="Ispraćena hiperveza" xfId="825" builtinId="9" hidden="1"/>
    <cellStyle name="Ispraćena hiperveza" xfId="827" builtinId="9" hidden="1"/>
    <cellStyle name="Ispraćena hiperveza" xfId="829" builtinId="9" hidden="1"/>
    <cellStyle name="Ispraćena hiperveza" xfId="831" builtinId="9" hidden="1"/>
    <cellStyle name="Ispraćena hiperveza" xfId="833" builtinId="9" hidden="1"/>
    <cellStyle name="Ispraćena hiperveza" xfId="835" builtinId="9" hidden="1"/>
    <cellStyle name="Ispraćena hiperveza" xfId="837" builtinId="9" hidden="1"/>
    <cellStyle name="Ispraćena hiperveza" xfId="839" builtinId="9" hidden="1"/>
    <cellStyle name="Ispraćena hiperveza" xfId="841" builtinId="9" hidden="1"/>
    <cellStyle name="Ispraćena hiperveza" xfId="843" builtinId="9" hidden="1"/>
    <cellStyle name="Ispraćena hiperveza" xfId="845" builtinId="9" hidden="1"/>
    <cellStyle name="Ispraćena hiperveza" xfId="847" builtinId="9" hidden="1"/>
    <cellStyle name="Ispraćena hiperveza" xfId="849" builtinId="9" hidden="1"/>
    <cellStyle name="Ispraćena hiperveza" xfId="851" builtinId="9" hidden="1"/>
    <cellStyle name="Ispraćena hiperveza" xfId="853" builtinId="9" hidden="1"/>
    <cellStyle name="Ispraćena hiperveza" xfId="855" builtinId="9" hidden="1"/>
    <cellStyle name="Ispraćena hiperveza" xfId="857" builtinId="9" hidden="1"/>
    <cellStyle name="Ispraćena hiperveza" xfId="859" builtinId="9" hidden="1"/>
    <cellStyle name="Ispraćena hiperveza" xfId="861" builtinId="9" hidden="1"/>
    <cellStyle name="Ispraćena hiperveza" xfId="863" builtinId="9" hidden="1"/>
    <cellStyle name="Ispraćena hiperveza" xfId="865" builtinId="9" hidden="1"/>
    <cellStyle name="Ispraćena hiperveza" xfId="867" builtinId="9" hidden="1"/>
    <cellStyle name="Ispraćena hiperveza" xfId="869" builtinId="9" hidden="1"/>
    <cellStyle name="Ispraćena hiperveza" xfId="871" builtinId="9" hidden="1"/>
    <cellStyle name="Ispraćena hiperveza" xfId="873" builtinId="9" hidden="1"/>
    <cellStyle name="Ispraćena hiperveza" xfId="875" builtinId="9" hidden="1"/>
    <cellStyle name="Ispraćena hiperveza" xfId="877" builtinId="9" hidden="1"/>
    <cellStyle name="Ispraćena hiperveza" xfId="879" builtinId="9" hidden="1"/>
    <cellStyle name="Ispraćena hiperveza" xfId="881" builtinId="9" hidden="1"/>
    <cellStyle name="Ispraćena hiperveza" xfId="883" builtinId="9" hidden="1"/>
    <cellStyle name="Ispraćena hiperveza" xfId="885" builtinId="9" hidden="1"/>
    <cellStyle name="Ispraćena hiperveza" xfId="887" builtinId="9" hidden="1"/>
    <cellStyle name="Ispraćena hiperveza" xfId="889" builtinId="9" hidden="1"/>
    <cellStyle name="Ispraćena hiperveza" xfId="891" builtinId="9" hidden="1"/>
    <cellStyle name="Ispraćena hiperveza" xfId="893" builtinId="9" hidden="1"/>
    <cellStyle name="Ispraćena hiperveza" xfId="895" builtinId="9" hidden="1"/>
    <cellStyle name="Ispraćena hiperveza" xfId="897" builtinId="9" hidden="1"/>
    <cellStyle name="Ispraćena hiperveza" xfId="899" builtinId="9" hidden="1"/>
    <cellStyle name="Ispraćena hiperveza" xfId="901" builtinId="9" hidden="1"/>
    <cellStyle name="Ispraćena hiperveza" xfId="903" builtinId="9" hidden="1"/>
    <cellStyle name="Ispraćena hiperveza" xfId="905" builtinId="9" hidden="1"/>
    <cellStyle name="Ispraćena hiperveza" xfId="907" builtinId="9" hidden="1"/>
    <cellStyle name="Ispraćena hiperveza" xfId="909" builtinId="9" hidden="1"/>
    <cellStyle name="Ispraćena hiperveza" xfId="911" builtinId="9" hidden="1"/>
    <cellStyle name="Ispraćena hiperveza" xfId="913" builtinId="9" hidden="1"/>
    <cellStyle name="Ispraćena hiperveza" xfId="915" builtinId="9" hidden="1"/>
    <cellStyle name="Ispraćena hiperveza" xfId="917" builtinId="9" hidden="1"/>
    <cellStyle name="Ispraćena hiperveza" xfId="919" builtinId="9" hidden="1"/>
    <cellStyle name="Ispraćena hiperveza" xfId="921" builtinId="9" hidden="1"/>
    <cellStyle name="Ispraćena hiperveza" xfId="923" builtinId="9" hidden="1"/>
    <cellStyle name="Ispraćena hiperveza" xfId="925" builtinId="9" hidden="1"/>
    <cellStyle name="Ispraćena hiperveza" xfId="927" builtinId="9" hidden="1"/>
    <cellStyle name="Ispraćena hiperveza" xfId="929" builtinId="9" hidden="1"/>
    <cellStyle name="Ispraćena hiperveza" xfId="931" builtinId="9" hidden="1"/>
    <cellStyle name="Ispraćena hiperveza" xfId="933" builtinId="9" hidden="1"/>
    <cellStyle name="Ispraćena hiperveza" xfId="935" builtinId="9" hidden="1"/>
    <cellStyle name="Ispraćena hiperveza" xfId="937" builtinId="9" hidden="1"/>
    <cellStyle name="Ispraćena hiperveza" xfId="939" builtinId="9" hidden="1"/>
    <cellStyle name="Ispraćena hiperveza" xfId="941" builtinId="9" hidden="1"/>
    <cellStyle name="Ispraćena hiperveza" xfId="943" builtinId="9" hidden="1"/>
    <cellStyle name="Ispraćena hiperveza" xfId="945" builtinId="9" hidden="1"/>
    <cellStyle name="Ispraćena hiperveza" xfId="947" builtinId="9" hidden="1"/>
    <cellStyle name="Ispraćena hiperveza" xfId="949" builtinId="9" hidden="1"/>
    <cellStyle name="Ispraćena hiperveza" xfId="951" builtinId="9" hidden="1"/>
    <cellStyle name="Ispraćena hiperveza" xfId="953" builtinId="9" hidden="1"/>
    <cellStyle name="Loše" xfId="460" builtinId="27"/>
    <cellStyle name="Normal_1" xfId="459" xr:uid="{00000000-0005-0000-0000-0000B8030000}"/>
    <cellStyle name="Normal_UNOS08ust" xfId="458" xr:uid="{00000000-0005-0000-0000-0000B9030000}"/>
    <cellStyle name="Normalan" xfId="0" builtinId="0"/>
    <cellStyle name="Zarez" xfId="457" builtinId="3"/>
  </cellStyles>
  <dxfs count="0"/>
  <tableStyles count="0" defaultTableStyle="TableStyleMedium9" defaultPivotStyle="PivotStyleMedium4"/>
  <colors>
    <mruColors>
      <color rgb="FFFF00FF"/>
      <color rgb="FFFF33CC"/>
      <color rgb="FF00FF00"/>
      <color rgb="FFFFFF99"/>
      <color rgb="FFFF00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443"/>
  <sheetViews>
    <sheetView tabSelected="1" view="pageBreakPreview" topLeftCell="A328" zoomScale="85" zoomScaleNormal="85" zoomScaleSheetLayoutView="85" zoomScalePageLayoutView="85" workbookViewId="0">
      <selection activeCell="F357" sqref="F357"/>
    </sheetView>
  </sheetViews>
  <sheetFormatPr defaultColWidth="8.75" defaultRowHeight="15.75" x14ac:dyDescent="0.25"/>
  <cols>
    <col min="1" max="1" width="7.125" style="6" customWidth="1"/>
    <col min="2" max="2" width="5.75" style="8" customWidth="1"/>
    <col min="3" max="3" width="90.375" style="6" customWidth="1"/>
    <col min="4" max="4" width="41.25" style="12" customWidth="1"/>
    <col min="5" max="5" width="17.75" style="72" customWidth="1"/>
    <col min="6" max="6" width="34.875" style="64" customWidth="1"/>
    <col min="7" max="16384" width="8.75" style="1"/>
  </cols>
  <sheetData>
    <row r="1" spans="1:6" x14ac:dyDescent="0.25">
      <c r="A1" s="85"/>
      <c r="B1" s="117"/>
      <c r="C1" s="210" t="s">
        <v>83</v>
      </c>
      <c r="D1" s="210"/>
      <c r="E1" s="210"/>
      <c r="F1" s="83"/>
    </row>
    <row r="2" spans="1:6" x14ac:dyDescent="0.25">
      <c r="C2" s="211" t="s">
        <v>231</v>
      </c>
      <c r="D2" s="211"/>
      <c r="E2" s="211"/>
    </row>
    <row r="3" spans="1:6" x14ac:dyDescent="0.25">
      <c r="A3" s="98"/>
      <c r="B3" s="102"/>
      <c r="C3" s="4" t="s">
        <v>369</v>
      </c>
      <c r="D3" s="5"/>
      <c r="E3" s="64"/>
      <c r="F3" s="100"/>
    </row>
    <row r="4" spans="1:6" x14ac:dyDescent="0.25">
      <c r="A4" s="98"/>
      <c r="B4" s="102"/>
      <c r="D4" s="7" t="s">
        <v>88</v>
      </c>
      <c r="E4" s="65" t="s">
        <v>114</v>
      </c>
      <c r="F4" s="101"/>
    </row>
    <row r="5" spans="1:6" x14ac:dyDescent="0.25">
      <c r="A5" s="98"/>
      <c r="B5" s="102"/>
      <c r="C5" s="8" t="s">
        <v>77</v>
      </c>
      <c r="D5" s="9">
        <f>+F35</f>
        <v>855362000</v>
      </c>
      <c r="E5" s="66">
        <f>+D5/D13</f>
        <v>0.85645826658122393</v>
      </c>
      <c r="F5" s="100"/>
    </row>
    <row r="6" spans="1:6" x14ac:dyDescent="0.25">
      <c r="A6" s="98"/>
      <c r="B6" s="102"/>
      <c r="C6" s="8" t="s">
        <v>121</v>
      </c>
      <c r="D6" s="9">
        <f>+F168</f>
        <v>49989906.170000002</v>
      </c>
      <c r="E6" s="66">
        <f>+D6/D13</f>
        <v>5.0053975258330663E-2</v>
      </c>
      <c r="F6" s="100"/>
    </row>
    <row r="7" spans="1:6" x14ac:dyDescent="0.25">
      <c r="A7" s="98"/>
      <c r="B7" s="102"/>
      <c r="C7" s="8" t="s">
        <v>123</v>
      </c>
      <c r="D7" s="9">
        <f>F235</f>
        <v>14490160</v>
      </c>
      <c r="E7" s="66">
        <f>+D7/D13</f>
        <v>1.4508731175905159E-2</v>
      </c>
      <c r="F7" s="100"/>
    </row>
    <row r="8" spans="1:6" x14ac:dyDescent="0.25">
      <c r="A8" s="98"/>
      <c r="B8" s="102"/>
      <c r="C8" s="8" t="s">
        <v>78</v>
      </c>
      <c r="D8" s="9">
        <f>SUM(F369)</f>
        <v>5898933.8300000001</v>
      </c>
      <c r="E8" s="66">
        <f>+D8/D13</f>
        <v>5.9064941425024031E-3</v>
      </c>
      <c r="F8" s="100"/>
    </row>
    <row r="9" spans="1:6" x14ac:dyDescent="0.25">
      <c r="A9" s="98"/>
      <c r="B9" s="102"/>
      <c r="C9" s="8" t="s">
        <v>370</v>
      </c>
      <c r="D9" s="9">
        <v>2699000</v>
      </c>
      <c r="E9" s="66">
        <f>+D9/D13</f>
        <v>2.7024591477090676E-3</v>
      </c>
      <c r="F9" s="100"/>
    </row>
    <row r="10" spans="1:6" x14ac:dyDescent="0.25">
      <c r="A10" s="98"/>
      <c r="B10" s="102"/>
      <c r="C10" s="8" t="s">
        <v>79</v>
      </c>
      <c r="D10" s="9">
        <v>69680000</v>
      </c>
      <c r="E10" s="66">
        <f>+D10/D13</f>
        <v>6.9769304710028832E-2</v>
      </c>
      <c r="F10" s="100"/>
    </row>
    <row r="11" spans="1:6" x14ac:dyDescent="0.25">
      <c r="A11" s="98"/>
      <c r="B11" s="102"/>
      <c r="C11" s="8" t="s">
        <v>80</v>
      </c>
      <c r="D11" s="9">
        <f>F426</f>
        <v>600000</v>
      </c>
      <c r="E11" s="66">
        <f>+D11/D13</f>
        <v>6.0076898429990385E-4</v>
      </c>
      <c r="F11" s="100"/>
    </row>
    <row r="12" spans="1:6" x14ac:dyDescent="0.25">
      <c r="A12" s="98"/>
      <c r="B12" s="76"/>
      <c r="C12" s="10"/>
      <c r="D12" s="11"/>
      <c r="E12" s="67"/>
      <c r="F12" s="105"/>
    </row>
    <row r="13" spans="1:6" x14ac:dyDescent="0.25">
      <c r="A13" s="98"/>
      <c r="B13" s="102"/>
      <c r="C13" s="16" t="s">
        <v>87</v>
      </c>
      <c r="D13" s="9">
        <f>SUM(D5:D11)</f>
        <v>998720000</v>
      </c>
      <c r="E13" s="68">
        <f>SUM(E5:E11)</f>
        <v>1</v>
      </c>
      <c r="F13" s="106"/>
    </row>
    <row r="14" spans="1:6" ht="19.149999999999999" customHeight="1" x14ac:dyDescent="0.25">
      <c r="A14" s="4"/>
      <c r="B14" s="8">
        <v>1</v>
      </c>
      <c r="C14" s="4" t="s">
        <v>354</v>
      </c>
      <c r="D14" s="94"/>
      <c r="E14" s="64"/>
    </row>
    <row r="15" spans="1:6" s="52" customFormat="1" ht="99.6" customHeight="1" x14ac:dyDescent="0.25">
      <c r="A15" s="129"/>
      <c r="B15" s="130"/>
      <c r="C15" s="212" t="s">
        <v>389</v>
      </c>
      <c r="D15" s="213"/>
      <c r="E15" s="213"/>
      <c r="F15" s="213"/>
    </row>
    <row r="16" spans="1:6" ht="15.75" customHeight="1" x14ac:dyDescent="0.25">
      <c r="A16" s="131"/>
      <c r="B16" s="120"/>
      <c r="C16" s="15" t="s">
        <v>355</v>
      </c>
      <c r="D16" s="15"/>
      <c r="E16" s="45">
        <v>290000000</v>
      </c>
      <c r="F16" s="132"/>
    </row>
    <row r="17" spans="1:6" ht="25.9" customHeight="1" x14ac:dyDescent="0.25">
      <c r="A17" s="131"/>
      <c r="B17" s="120"/>
      <c r="C17" s="15" t="s">
        <v>356</v>
      </c>
      <c r="D17" s="15"/>
      <c r="E17" s="41">
        <f>75000000-15000000</f>
        <v>60000000</v>
      </c>
      <c r="F17" s="132"/>
    </row>
    <row r="18" spans="1:6" s="93" customFormat="1" x14ac:dyDescent="0.25">
      <c r="A18" s="131"/>
      <c r="B18" s="120"/>
      <c r="C18" s="15" t="s">
        <v>357</v>
      </c>
      <c r="D18" s="15"/>
      <c r="E18" s="41">
        <f>70000000-10000000</f>
        <v>60000000</v>
      </c>
      <c r="F18" s="132"/>
    </row>
    <row r="19" spans="1:6" x14ac:dyDescent="0.25">
      <c r="A19" s="131"/>
      <c r="B19" s="120"/>
      <c r="C19" s="15" t="s">
        <v>358</v>
      </c>
      <c r="D19" s="15"/>
      <c r="E19" s="41">
        <f>70000000-0</f>
        <v>70000000</v>
      </c>
      <c r="F19" s="132"/>
    </row>
    <row r="20" spans="1:6" x14ac:dyDescent="0.25">
      <c r="A20" s="131"/>
      <c r="B20" s="120"/>
      <c r="C20" s="15" t="s">
        <v>359</v>
      </c>
      <c r="D20" s="15"/>
      <c r="E20" s="45">
        <v>10000000</v>
      </c>
      <c r="F20" s="132"/>
    </row>
    <row r="21" spans="1:6" x14ac:dyDescent="0.25">
      <c r="A21" s="131"/>
      <c r="B21" s="120"/>
      <c r="C21" s="15" t="s">
        <v>360</v>
      </c>
      <c r="D21" s="15"/>
      <c r="E21" s="41">
        <v>10000000</v>
      </c>
      <c r="F21" s="132"/>
    </row>
    <row r="22" spans="1:6" x14ac:dyDescent="0.25">
      <c r="A22" s="131"/>
      <c r="B22" s="120"/>
      <c r="C22" s="44" t="s">
        <v>361</v>
      </c>
      <c r="D22" s="44"/>
      <c r="E22" s="41">
        <v>7000000</v>
      </c>
      <c r="F22" s="132"/>
    </row>
    <row r="23" spans="1:6" x14ac:dyDescent="0.25">
      <c r="A23" s="131"/>
      <c r="B23" s="120"/>
      <c r="C23" s="111" t="s">
        <v>362</v>
      </c>
      <c r="D23" s="111"/>
      <c r="E23" s="41">
        <v>12000000</v>
      </c>
      <c r="F23" s="132"/>
    </row>
    <row r="24" spans="1:6" x14ac:dyDescent="0.25">
      <c r="A24" s="131"/>
      <c r="B24" s="120"/>
      <c r="C24" s="15" t="s">
        <v>363</v>
      </c>
      <c r="D24" s="15"/>
      <c r="E24" s="41">
        <v>12000000</v>
      </c>
      <c r="F24" s="132"/>
    </row>
    <row r="25" spans="1:6" x14ac:dyDescent="0.25">
      <c r="A25" s="131"/>
      <c r="B25" s="120"/>
      <c r="C25" s="15" t="s">
        <v>364</v>
      </c>
      <c r="D25" s="15"/>
      <c r="E25" s="45">
        <v>8000000</v>
      </c>
      <c r="F25" s="132"/>
    </row>
    <row r="26" spans="1:6" ht="31.5" x14ac:dyDescent="0.25">
      <c r="A26" s="131"/>
      <c r="B26" s="120"/>
      <c r="C26" s="27" t="s">
        <v>391</v>
      </c>
      <c r="D26" s="27"/>
      <c r="E26" s="41">
        <f>18000000-3000000</f>
        <v>15000000</v>
      </c>
      <c r="F26" s="132"/>
    </row>
    <row r="27" spans="1:6" x14ac:dyDescent="0.25">
      <c r="A27" s="131"/>
      <c r="B27" s="120"/>
      <c r="C27" s="27" t="s">
        <v>390</v>
      </c>
      <c r="D27" s="27"/>
      <c r="E27" s="41">
        <v>10000000</v>
      </c>
      <c r="F27" s="132"/>
    </row>
    <row r="28" spans="1:6" x14ac:dyDescent="0.25">
      <c r="A28" s="131"/>
      <c r="B28" s="120"/>
      <c r="C28" s="15" t="s">
        <v>365</v>
      </c>
      <c r="D28" s="15"/>
      <c r="E28" s="41">
        <v>80000000</v>
      </c>
      <c r="F28" s="132"/>
    </row>
    <row r="29" spans="1:6" ht="21.75" customHeight="1" x14ac:dyDescent="0.25">
      <c r="A29" s="131"/>
      <c r="B29" s="120"/>
      <c r="C29" s="15" t="s">
        <v>366</v>
      </c>
      <c r="D29" s="15"/>
      <c r="E29" s="45">
        <v>8000000</v>
      </c>
      <c r="F29" s="132"/>
    </row>
    <row r="30" spans="1:6" s="93" customFormat="1" x14ac:dyDescent="0.25">
      <c r="A30" s="131"/>
      <c r="B30" s="120"/>
      <c r="C30" s="46" t="s">
        <v>177</v>
      </c>
      <c r="D30" s="46"/>
      <c r="E30" s="41">
        <f>6000000-1000000</f>
        <v>5000000</v>
      </c>
      <c r="F30" s="133"/>
    </row>
    <row r="31" spans="1:6" ht="47.25" x14ac:dyDescent="0.25">
      <c r="A31" s="131"/>
      <c r="B31" s="120"/>
      <c r="C31" s="46" t="s">
        <v>367</v>
      </c>
      <c r="D31" s="46"/>
      <c r="E31" s="41">
        <f>18000000-1000000</f>
        <v>17000000</v>
      </c>
      <c r="F31" s="132"/>
    </row>
    <row r="32" spans="1:6" x14ac:dyDescent="0.25">
      <c r="A32" s="131"/>
      <c r="B32" s="120"/>
      <c r="C32" s="59" t="s">
        <v>368</v>
      </c>
      <c r="D32" s="59"/>
      <c r="E32" s="53">
        <v>35482000</v>
      </c>
      <c r="F32" s="133"/>
    </row>
    <row r="33" spans="1:6" x14ac:dyDescent="0.25">
      <c r="A33" s="35"/>
      <c r="B33" s="120"/>
      <c r="C33" s="59" t="s">
        <v>402</v>
      </c>
      <c r="D33" s="59"/>
      <c r="E33" s="184">
        <v>145880000</v>
      </c>
      <c r="F33" s="149"/>
    </row>
    <row r="34" spans="1:6" x14ac:dyDescent="0.25">
      <c r="A34" s="98"/>
      <c r="B34" s="76"/>
      <c r="C34" s="103"/>
      <c r="D34" s="19"/>
      <c r="E34" s="172"/>
      <c r="F34" s="107"/>
    </row>
    <row r="35" spans="1:6" x14ac:dyDescent="0.25">
      <c r="A35" s="98"/>
      <c r="B35" s="102"/>
      <c r="C35" s="98"/>
      <c r="D35" s="22" t="s">
        <v>81</v>
      </c>
      <c r="E35" s="69"/>
      <c r="F35" s="70">
        <f>+E16+E17+E18+E19+E20+E21+E22+E23+E24+E25+E26+E27+E28+E29+E30+E31+E32+E33</f>
        <v>855362000</v>
      </c>
    </row>
    <row r="36" spans="1:6" x14ac:dyDescent="0.25">
      <c r="B36" s="8">
        <v>2</v>
      </c>
      <c r="C36" s="23" t="s">
        <v>121</v>
      </c>
      <c r="E36" s="28"/>
      <c r="F36" s="28"/>
    </row>
    <row r="37" spans="1:6" x14ac:dyDescent="0.25">
      <c r="C37" s="23"/>
      <c r="E37" s="28"/>
      <c r="F37" s="28"/>
    </row>
    <row r="38" spans="1:6" x14ac:dyDescent="0.25">
      <c r="B38" s="8" t="s">
        <v>127</v>
      </c>
      <c r="C38" s="39" t="s">
        <v>1</v>
      </c>
      <c r="E38" s="28"/>
      <c r="F38" s="28"/>
    </row>
    <row r="39" spans="1:6" ht="33" customHeight="1" x14ac:dyDescent="0.25">
      <c r="B39" s="118"/>
      <c r="C39" s="214" t="s">
        <v>116</v>
      </c>
      <c r="D39" s="214"/>
      <c r="E39" s="214"/>
      <c r="F39" s="214"/>
    </row>
    <row r="40" spans="1:6" ht="19.149999999999999" customHeight="1" x14ac:dyDescent="0.25">
      <c r="A40" s="35"/>
      <c r="B40" s="119"/>
      <c r="C40" s="27" t="s">
        <v>17</v>
      </c>
      <c r="D40" s="43"/>
      <c r="E40" s="41">
        <v>120000</v>
      </c>
      <c r="F40" s="42"/>
    </row>
    <row r="41" spans="1:6" x14ac:dyDescent="0.25">
      <c r="C41" s="24" t="s">
        <v>0</v>
      </c>
      <c r="E41" s="28"/>
      <c r="F41" s="17">
        <v>0</v>
      </c>
    </row>
    <row r="42" spans="1:6" x14ac:dyDescent="0.25">
      <c r="B42" s="118"/>
      <c r="C42" s="18"/>
      <c r="D42" s="19"/>
      <c r="E42" s="25"/>
      <c r="F42" s="21"/>
    </row>
    <row r="43" spans="1:6" x14ac:dyDescent="0.25">
      <c r="B43" s="8" t="s">
        <v>128</v>
      </c>
      <c r="C43" s="215" t="s">
        <v>101</v>
      </c>
      <c r="D43" s="215"/>
      <c r="E43" s="28"/>
      <c r="F43" s="28"/>
    </row>
    <row r="44" spans="1:6" ht="245.25" customHeight="1" x14ac:dyDescent="0.25">
      <c r="B44" s="118"/>
      <c r="C44" s="200" t="s">
        <v>232</v>
      </c>
      <c r="D44" s="200"/>
      <c r="E44" s="200"/>
      <c r="F44" s="200"/>
    </row>
    <row r="45" spans="1:6" s="2" customFormat="1" x14ac:dyDescent="0.25">
      <c r="A45" s="35"/>
      <c r="B45" s="120"/>
      <c r="C45" s="27" t="s">
        <v>12</v>
      </c>
      <c r="D45" s="43"/>
      <c r="E45" s="41">
        <f>3000000-1200000</f>
        <v>1800000</v>
      </c>
      <c r="F45" s="162"/>
    </row>
    <row r="46" spans="1:6" s="2" customFormat="1" x14ac:dyDescent="0.25">
      <c r="A46" s="35"/>
      <c r="B46" s="120"/>
      <c r="C46" s="27" t="s">
        <v>14</v>
      </c>
      <c r="D46" s="43"/>
      <c r="E46" s="41">
        <f>3000000-1404600</f>
        <v>1595400</v>
      </c>
      <c r="F46" s="162"/>
    </row>
    <row r="47" spans="1:6" s="2" customFormat="1" x14ac:dyDescent="0.25">
      <c r="A47" s="35"/>
      <c r="B47" s="120"/>
      <c r="C47" s="27" t="s">
        <v>233</v>
      </c>
      <c r="D47" s="43"/>
      <c r="E47" s="41">
        <f>10000000-5000000</f>
        <v>5000000</v>
      </c>
      <c r="F47" s="51"/>
    </row>
    <row r="48" spans="1:6" s="2" customFormat="1" x14ac:dyDescent="0.25">
      <c r="A48" s="35"/>
      <c r="B48" s="120"/>
      <c r="C48" s="27" t="s">
        <v>13</v>
      </c>
      <c r="D48" s="43"/>
      <c r="E48" s="41">
        <f>2000000-320000</f>
        <v>1680000</v>
      </c>
      <c r="F48" s="167"/>
    </row>
    <row r="49" spans="1:6" s="2" customFormat="1" x14ac:dyDescent="0.25">
      <c r="A49" s="35"/>
      <c r="B49" s="120"/>
      <c r="C49" s="27" t="s">
        <v>234</v>
      </c>
      <c r="D49" s="43"/>
      <c r="E49" s="41">
        <f>10000000-5000000</f>
        <v>5000000</v>
      </c>
      <c r="F49" s="42"/>
    </row>
    <row r="50" spans="1:6" s="2" customFormat="1" x14ac:dyDescent="0.25">
      <c r="A50" s="35"/>
      <c r="B50" s="120"/>
      <c r="C50" s="27" t="s">
        <v>18</v>
      </c>
      <c r="D50" s="40"/>
      <c r="E50" s="41">
        <v>300000</v>
      </c>
      <c r="F50" s="163"/>
    </row>
    <row r="51" spans="1:6" s="2" customFormat="1" x14ac:dyDescent="0.25">
      <c r="A51" s="35"/>
      <c r="B51" s="120"/>
      <c r="C51" s="27" t="s">
        <v>15</v>
      </c>
      <c r="D51" s="27"/>
      <c r="E51" s="41">
        <v>200000</v>
      </c>
      <c r="F51" s="162"/>
    </row>
    <row r="52" spans="1:6" x14ac:dyDescent="0.25">
      <c r="A52" s="35"/>
      <c r="B52" s="119"/>
      <c r="C52" s="47" t="s">
        <v>0</v>
      </c>
      <c r="D52" s="43"/>
      <c r="E52" s="42"/>
      <c r="F52" s="50">
        <v>28480785.350000001</v>
      </c>
    </row>
    <row r="53" spans="1:6" x14ac:dyDescent="0.25">
      <c r="B53" s="118"/>
      <c r="C53" s="18"/>
      <c r="D53" s="19"/>
      <c r="E53" s="25"/>
      <c r="F53" s="21"/>
    </row>
    <row r="54" spans="1:6" ht="22.15" customHeight="1" x14ac:dyDescent="0.25">
      <c r="B54" s="8" t="s">
        <v>129</v>
      </c>
      <c r="C54" s="39" t="s">
        <v>90</v>
      </c>
      <c r="E54" s="28"/>
      <c r="F54" s="28"/>
    </row>
    <row r="55" spans="1:6" s="2" customFormat="1" x14ac:dyDescent="0.25">
      <c r="A55" s="35"/>
      <c r="B55" s="97"/>
      <c r="C55" s="197" t="s">
        <v>179</v>
      </c>
      <c r="D55" s="197"/>
      <c r="E55" s="197"/>
      <c r="F55" s="201"/>
    </row>
    <row r="56" spans="1:6" ht="19.5" customHeight="1" x14ac:dyDescent="0.25">
      <c r="B56" s="120"/>
      <c r="C56" s="27" t="s">
        <v>91</v>
      </c>
      <c r="D56" s="27" t="s">
        <v>148</v>
      </c>
      <c r="E56" s="41">
        <f>SUM(5000*120)</f>
        <v>600000</v>
      </c>
      <c r="F56" s="75"/>
    </row>
    <row r="57" spans="1:6" ht="17.649999999999999" customHeight="1" x14ac:dyDescent="0.25">
      <c r="B57" s="120"/>
      <c r="C57" s="27" t="s">
        <v>14</v>
      </c>
      <c r="D57" s="27" t="s">
        <v>235</v>
      </c>
      <c r="E57" s="41">
        <f>SUM(100*2*3*120)</f>
        <v>72000</v>
      </c>
      <c r="F57" s="162"/>
    </row>
    <row r="58" spans="1:6" s="2" customFormat="1" ht="18" customHeight="1" x14ac:dyDescent="0.25">
      <c r="A58" s="35"/>
      <c r="B58" s="120"/>
      <c r="C58" s="27" t="s">
        <v>97</v>
      </c>
      <c r="D58" s="27" t="s">
        <v>192</v>
      </c>
      <c r="E58" s="41">
        <v>120000</v>
      </c>
      <c r="F58" s="167"/>
    </row>
    <row r="59" spans="1:6" s="2" customFormat="1" ht="18" customHeight="1" x14ac:dyDescent="0.25">
      <c r="A59" s="35"/>
      <c r="B59" s="120"/>
      <c r="C59" s="27" t="s">
        <v>236</v>
      </c>
      <c r="D59" s="27" t="s">
        <v>237</v>
      </c>
      <c r="E59" s="42">
        <f>SUM(30000*2)</f>
        <v>60000</v>
      </c>
      <c r="F59" s="162"/>
    </row>
    <row r="60" spans="1:6" s="2" customFormat="1" x14ac:dyDescent="0.25">
      <c r="A60" s="35"/>
      <c r="B60" s="120"/>
      <c r="C60" s="27" t="s">
        <v>62</v>
      </c>
      <c r="D60" s="27" t="s">
        <v>159</v>
      </c>
      <c r="E60" s="42">
        <f>1000*120</f>
        <v>120000</v>
      </c>
      <c r="F60" s="167"/>
    </row>
    <row r="61" spans="1:6" s="2" customFormat="1" x14ac:dyDescent="0.25">
      <c r="A61" s="35"/>
      <c r="B61" s="120"/>
      <c r="C61" s="43" t="s">
        <v>102</v>
      </c>
      <c r="D61" s="43" t="s">
        <v>228</v>
      </c>
      <c r="E61" s="41">
        <f>SUM(15*3*3*120)</f>
        <v>16200</v>
      </c>
      <c r="F61" s="162"/>
    </row>
    <row r="62" spans="1:6" s="2" customFormat="1" x14ac:dyDescent="0.25">
      <c r="A62" s="35"/>
      <c r="B62" s="119"/>
      <c r="C62" s="47" t="s">
        <v>0</v>
      </c>
      <c r="D62" s="43"/>
      <c r="E62" s="42"/>
      <c r="F62" s="50">
        <v>787506.66</v>
      </c>
    </row>
    <row r="63" spans="1:6" s="2" customFormat="1" x14ac:dyDescent="0.25">
      <c r="A63" s="35"/>
      <c r="B63" s="97"/>
      <c r="C63" s="18"/>
      <c r="D63" s="19"/>
      <c r="E63" s="25"/>
      <c r="F63" s="21"/>
    </row>
    <row r="64" spans="1:6" s="2" customFormat="1" ht="15" customHeight="1" x14ac:dyDescent="0.25">
      <c r="A64" s="86"/>
      <c r="B64" s="8" t="s">
        <v>130</v>
      </c>
      <c r="C64" s="39" t="s">
        <v>24</v>
      </c>
      <c r="D64" s="12"/>
      <c r="E64" s="28"/>
      <c r="F64" s="28"/>
    </row>
    <row r="65" spans="1:6" ht="32.450000000000003" customHeight="1" x14ac:dyDescent="0.25">
      <c r="A65" s="35"/>
      <c r="B65" s="97"/>
      <c r="C65" s="208" t="s">
        <v>238</v>
      </c>
      <c r="D65" s="208"/>
      <c r="E65" s="208"/>
      <c r="F65" s="208"/>
    </row>
    <row r="66" spans="1:6" s="2" customFormat="1" x14ac:dyDescent="0.25">
      <c r="A66" s="35"/>
      <c r="B66" s="59"/>
      <c r="C66" s="33" t="s">
        <v>239</v>
      </c>
      <c r="D66" s="50">
        <f>SUM(E67:E67)</f>
        <v>360000</v>
      </c>
      <c r="E66" s="59"/>
      <c r="F66" s="59"/>
    </row>
    <row r="67" spans="1:6" s="2" customFormat="1" x14ac:dyDescent="0.25">
      <c r="A67" s="35"/>
      <c r="B67" s="59"/>
      <c r="C67" s="74" t="s">
        <v>156</v>
      </c>
      <c r="D67" s="74" t="s">
        <v>241</v>
      </c>
      <c r="E67" s="53">
        <v>360000</v>
      </c>
      <c r="F67" s="49"/>
    </row>
    <row r="68" spans="1:6" s="2" customFormat="1" x14ac:dyDescent="0.25">
      <c r="A68" s="35"/>
      <c r="B68" s="119"/>
      <c r="C68" s="55" t="s">
        <v>242</v>
      </c>
      <c r="D68" s="57">
        <f>SUM(E69:E74)</f>
        <v>2798400</v>
      </c>
      <c r="E68" s="53"/>
      <c r="F68" s="59"/>
    </row>
    <row r="69" spans="1:6" s="2" customFormat="1" x14ac:dyDescent="0.25">
      <c r="A69" s="35"/>
      <c r="B69" s="59"/>
      <c r="C69" s="74" t="s">
        <v>243</v>
      </c>
      <c r="D69" s="74" t="s">
        <v>201</v>
      </c>
      <c r="E69" s="53">
        <f>10000*120</f>
        <v>1200000</v>
      </c>
      <c r="F69" s="59"/>
    </row>
    <row r="70" spans="1:6" s="2" customFormat="1" x14ac:dyDescent="0.25">
      <c r="A70" s="35"/>
      <c r="B70" s="120"/>
      <c r="C70" s="27" t="s">
        <v>117</v>
      </c>
      <c r="D70" s="56" t="s">
        <v>244</v>
      </c>
      <c r="E70" s="41">
        <f>SUM(70000*6)</f>
        <v>420000</v>
      </c>
      <c r="F70" s="51"/>
    </row>
    <row r="71" spans="1:6" s="2" customFormat="1" x14ac:dyDescent="0.25">
      <c r="A71" s="35"/>
      <c r="B71" s="120"/>
      <c r="C71" s="27" t="s">
        <v>189</v>
      </c>
      <c r="D71" s="27" t="s">
        <v>215</v>
      </c>
      <c r="E71" s="41">
        <f>SUM(8000*120)</f>
        <v>960000</v>
      </c>
      <c r="F71" s="51"/>
    </row>
    <row r="72" spans="1:6" ht="16.899999999999999" customHeight="1" x14ac:dyDescent="0.25">
      <c r="B72" s="120"/>
      <c r="C72" s="35" t="s">
        <v>157</v>
      </c>
      <c r="D72" s="35" t="s">
        <v>190</v>
      </c>
      <c r="E72" s="53">
        <f>700*120</f>
        <v>84000</v>
      </c>
      <c r="F72" s="42"/>
    </row>
    <row r="73" spans="1:6" x14ac:dyDescent="0.25">
      <c r="B73" s="120"/>
      <c r="C73" s="35" t="s">
        <v>158</v>
      </c>
      <c r="D73" s="35" t="s">
        <v>191</v>
      </c>
      <c r="E73" s="53">
        <f>400*120</f>
        <v>48000</v>
      </c>
      <c r="F73" s="42"/>
    </row>
    <row r="74" spans="1:6" ht="16.899999999999999" customHeight="1" x14ac:dyDescent="0.25">
      <c r="B74" s="59"/>
      <c r="C74" s="74" t="s">
        <v>6</v>
      </c>
      <c r="D74" s="74" t="s">
        <v>245</v>
      </c>
      <c r="E74" s="53">
        <f>SUM(15*6*8*120)</f>
        <v>86400</v>
      </c>
      <c r="F74" s="59"/>
    </row>
    <row r="75" spans="1:6" ht="16.5" customHeight="1" x14ac:dyDescent="0.25">
      <c r="A75" s="216" t="s">
        <v>0</v>
      </c>
      <c r="B75" s="217"/>
      <c r="C75" s="217"/>
      <c r="D75" s="14"/>
      <c r="E75" s="28"/>
      <c r="F75" s="17">
        <v>2899216.41</v>
      </c>
    </row>
    <row r="76" spans="1:6" s="2" customFormat="1" ht="16.899999999999999" customHeight="1" x14ac:dyDescent="0.25">
      <c r="A76" s="35"/>
      <c r="B76" s="97"/>
      <c r="C76" s="18"/>
      <c r="D76" s="19"/>
      <c r="E76" s="25"/>
      <c r="F76" s="21"/>
    </row>
    <row r="77" spans="1:6" s="2" customFormat="1" ht="16.899999999999999" customHeight="1" x14ac:dyDescent="0.25">
      <c r="A77" s="35"/>
      <c r="B77" s="8" t="s">
        <v>132</v>
      </c>
      <c r="C77" s="39" t="s">
        <v>23</v>
      </c>
      <c r="D77" s="12"/>
      <c r="E77" s="28"/>
      <c r="F77" s="28"/>
    </row>
    <row r="78" spans="1:6" s="2" customFormat="1" ht="39" customHeight="1" x14ac:dyDescent="0.25">
      <c r="A78" s="35"/>
      <c r="B78" s="97"/>
      <c r="C78" s="195" t="s">
        <v>246</v>
      </c>
      <c r="D78" s="195"/>
      <c r="E78" s="195"/>
      <c r="F78" s="209"/>
    </row>
    <row r="79" spans="1:6" s="2" customFormat="1" ht="16.899999999999999" customHeight="1" x14ac:dyDescent="0.25">
      <c r="A79" s="35"/>
      <c r="B79" s="119"/>
      <c r="C79" s="27" t="s">
        <v>112</v>
      </c>
      <c r="D79" s="27" t="s">
        <v>247</v>
      </c>
      <c r="E79" s="41">
        <f>15000*120</f>
        <v>1800000</v>
      </c>
      <c r="F79" s="42"/>
    </row>
    <row r="80" spans="1:6" s="2" customFormat="1" ht="16.899999999999999" customHeight="1" x14ac:dyDescent="0.25">
      <c r="A80" s="35"/>
      <c r="B80" s="120"/>
      <c r="C80" s="27" t="s">
        <v>2</v>
      </c>
      <c r="D80" s="27" t="s">
        <v>248</v>
      </c>
      <c r="E80" s="41">
        <f>500*120</f>
        <v>60000</v>
      </c>
      <c r="F80" s="42"/>
    </row>
    <row r="81" spans="1:6" s="2" customFormat="1" ht="16.899999999999999" customHeight="1" x14ac:dyDescent="0.25">
      <c r="A81" s="35"/>
      <c r="B81" s="120"/>
      <c r="C81" s="43" t="s">
        <v>19</v>
      </c>
      <c r="D81" s="80" t="s">
        <v>249</v>
      </c>
      <c r="E81" s="42">
        <v>60000</v>
      </c>
      <c r="F81" s="42"/>
    </row>
    <row r="82" spans="1:6" ht="16.899999999999999" customHeight="1" x14ac:dyDescent="0.25">
      <c r="A82" s="35"/>
      <c r="B82" s="120"/>
      <c r="C82" s="74" t="s">
        <v>178</v>
      </c>
      <c r="D82" s="56" t="s">
        <v>250</v>
      </c>
      <c r="E82" s="41">
        <v>300000</v>
      </c>
      <c r="F82" s="42"/>
    </row>
    <row r="83" spans="1:6" s="2" customFormat="1" ht="16.899999999999999" customHeight="1" x14ac:dyDescent="0.25">
      <c r="A83" s="35"/>
      <c r="B83" s="120"/>
      <c r="C83" s="27" t="s">
        <v>3</v>
      </c>
      <c r="D83" s="27" t="s">
        <v>251</v>
      </c>
      <c r="E83" s="41">
        <f>SUM(15*8*8*120)</f>
        <v>115200</v>
      </c>
      <c r="F83" s="51"/>
    </row>
    <row r="84" spans="1:6" s="2" customFormat="1" ht="16.899999999999999" customHeight="1" x14ac:dyDescent="0.25">
      <c r="A84" s="35"/>
      <c r="B84" s="120"/>
      <c r="C84" s="27" t="s">
        <v>4</v>
      </c>
      <c r="D84" s="27" t="s">
        <v>247</v>
      </c>
      <c r="E84" s="41">
        <f>SUM(15000*120)</f>
        <v>1800000</v>
      </c>
      <c r="F84" s="51"/>
    </row>
    <row r="85" spans="1:6" s="2" customFormat="1" ht="16.899999999999999" customHeight="1" x14ac:dyDescent="0.25">
      <c r="A85" s="35"/>
      <c r="B85" s="120"/>
      <c r="C85" s="27" t="s">
        <v>252</v>
      </c>
      <c r="D85" s="27" t="s">
        <v>253</v>
      </c>
      <c r="E85" s="41">
        <f>SUM(80000*8)</f>
        <v>640000</v>
      </c>
      <c r="F85" s="51"/>
    </row>
    <row r="86" spans="1:6" s="2" customFormat="1" ht="16.899999999999999" customHeight="1" x14ac:dyDescent="0.25">
      <c r="A86" s="35"/>
      <c r="B86" s="120"/>
      <c r="C86" s="27" t="s">
        <v>5</v>
      </c>
      <c r="D86" s="27" t="s">
        <v>254</v>
      </c>
      <c r="E86" s="41">
        <f>17000*6</f>
        <v>102000</v>
      </c>
      <c r="F86" s="42"/>
    </row>
    <row r="87" spans="1:6" s="2" customFormat="1" ht="16.899999999999999" customHeight="1" x14ac:dyDescent="0.25">
      <c r="A87" s="35"/>
      <c r="B87" s="120"/>
      <c r="C87" s="27" t="s">
        <v>113</v>
      </c>
      <c r="D87" s="27" t="s">
        <v>255</v>
      </c>
      <c r="E87" s="41">
        <f>120000+240000</f>
        <v>360000</v>
      </c>
      <c r="F87" s="42"/>
    </row>
    <row r="88" spans="1:6" ht="16.899999999999999" customHeight="1" x14ac:dyDescent="0.25">
      <c r="A88" s="35"/>
      <c r="B88" s="120"/>
      <c r="C88" s="27" t="s">
        <v>16</v>
      </c>
      <c r="D88" s="27" t="s">
        <v>250</v>
      </c>
      <c r="E88" s="41">
        <v>100000</v>
      </c>
      <c r="F88" s="42"/>
    </row>
    <row r="89" spans="1:6" x14ac:dyDescent="0.25">
      <c r="A89" s="35"/>
      <c r="B89" s="120"/>
      <c r="C89" s="74" t="s">
        <v>240</v>
      </c>
      <c r="D89" s="58" t="s">
        <v>256</v>
      </c>
      <c r="E89" s="41">
        <v>2000000</v>
      </c>
      <c r="F89" s="75"/>
    </row>
    <row r="90" spans="1:6" x14ac:dyDescent="0.25">
      <c r="A90" s="216" t="s">
        <v>0</v>
      </c>
      <c r="B90" s="217"/>
      <c r="C90" s="217"/>
      <c r="E90" s="28"/>
      <c r="F90" s="17">
        <v>4179271.4</v>
      </c>
    </row>
    <row r="91" spans="1:6" ht="18.75" customHeight="1" x14ac:dyDescent="0.25">
      <c r="A91" s="108"/>
      <c r="B91" s="97"/>
      <c r="C91" s="18"/>
      <c r="D91" s="19"/>
      <c r="E91" s="25"/>
      <c r="F91" s="21"/>
    </row>
    <row r="92" spans="1:6" s="2" customFormat="1" ht="20.25" customHeight="1" x14ac:dyDescent="0.25">
      <c r="A92" s="109"/>
      <c r="B92" s="8" t="s">
        <v>131</v>
      </c>
      <c r="C92" s="39" t="s">
        <v>257</v>
      </c>
      <c r="D92" s="12"/>
      <c r="E92" s="28"/>
      <c r="F92" s="28"/>
    </row>
    <row r="93" spans="1:6" s="2" customFormat="1" ht="82.9" customHeight="1" x14ac:dyDescent="0.25">
      <c r="A93" s="109"/>
      <c r="B93" s="59"/>
      <c r="C93" s="197" t="s">
        <v>258</v>
      </c>
      <c r="D93" s="197"/>
      <c r="E93" s="197"/>
      <c r="F93" s="126"/>
    </row>
    <row r="94" spans="1:6" s="2" customFormat="1" x14ac:dyDescent="0.25">
      <c r="A94" s="35"/>
      <c r="B94" s="120"/>
      <c r="C94" s="61" t="s">
        <v>181</v>
      </c>
      <c r="D94" s="60" t="s">
        <v>259</v>
      </c>
      <c r="E94" s="42">
        <f>7000*120</f>
        <v>840000</v>
      </c>
      <c r="F94" s="42"/>
    </row>
    <row r="95" spans="1:6" s="2" customFormat="1" x14ac:dyDescent="0.25">
      <c r="A95" s="35"/>
      <c r="B95" s="8"/>
      <c r="C95" s="24" t="s">
        <v>0</v>
      </c>
      <c r="D95" s="12"/>
      <c r="E95" s="28"/>
      <c r="F95" s="17">
        <v>821800.7</v>
      </c>
    </row>
    <row r="96" spans="1:6" s="2" customFormat="1" x14ac:dyDescent="0.25">
      <c r="A96" s="35"/>
      <c r="B96" s="97"/>
      <c r="C96" s="18"/>
      <c r="D96" s="19"/>
      <c r="E96" s="25"/>
      <c r="F96" s="21"/>
    </row>
    <row r="97" spans="1:6" s="2" customFormat="1" x14ac:dyDescent="0.25">
      <c r="A97" s="35"/>
      <c r="B97" s="8">
        <v>2.7</v>
      </c>
      <c r="C97" s="55" t="s">
        <v>200</v>
      </c>
      <c r="D97" s="12"/>
      <c r="E97" s="28"/>
      <c r="F97" s="28"/>
    </row>
    <row r="98" spans="1:6" s="2" customFormat="1" ht="66.599999999999994" customHeight="1" x14ac:dyDescent="0.25">
      <c r="A98" s="35"/>
      <c r="B98" s="96"/>
      <c r="C98" s="197" t="s">
        <v>260</v>
      </c>
      <c r="D98" s="197"/>
      <c r="E98" s="197"/>
      <c r="F98" s="197"/>
    </row>
    <row r="99" spans="1:6" s="2" customFormat="1" x14ac:dyDescent="0.25">
      <c r="A99" s="35"/>
      <c r="B99" s="120"/>
      <c r="C99" s="27" t="s">
        <v>261</v>
      </c>
      <c r="D99" s="81" t="s">
        <v>386</v>
      </c>
      <c r="E99" s="41">
        <v>1500000</v>
      </c>
      <c r="F99" s="42"/>
    </row>
    <row r="100" spans="1:6" s="2" customFormat="1" x14ac:dyDescent="0.25">
      <c r="A100" s="35"/>
      <c r="B100" s="119"/>
      <c r="C100" s="24" t="s">
        <v>0</v>
      </c>
      <c r="D100" s="12"/>
      <c r="E100" s="28"/>
      <c r="F100" s="17">
        <f>SUM(E99:E99)</f>
        <v>1500000</v>
      </c>
    </row>
    <row r="101" spans="1:6" s="2" customFormat="1" x14ac:dyDescent="0.25">
      <c r="A101" s="35"/>
      <c r="B101" s="97"/>
      <c r="C101" s="18"/>
      <c r="D101" s="19"/>
      <c r="E101" s="25"/>
      <c r="F101" s="21"/>
    </row>
    <row r="102" spans="1:6" s="2" customFormat="1" x14ac:dyDescent="0.25">
      <c r="A102" s="35"/>
      <c r="B102" s="119">
        <v>2.8</v>
      </c>
      <c r="C102" s="39" t="s">
        <v>262</v>
      </c>
      <c r="D102" s="39"/>
      <c r="E102" s="39"/>
      <c r="F102" s="42"/>
    </row>
    <row r="103" spans="1:6" x14ac:dyDescent="0.25">
      <c r="B103" s="120"/>
      <c r="C103" s="27" t="s">
        <v>202</v>
      </c>
      <c r="D103" s="27" t="s">
        <v>203</v>
      </c>
      <c r="E103" s="42">
        <f>40000*3</f>
        <v>120000</v>
      </c>
      <c r="F103" s="162"/>
    </row>
    <row r="104" spans="1:6" x14ac:dyDescent="0.25">
      <c r="B104" s="120"/>
      <c r="C104" s="27" t="s">
        <v>15</v>
      </c>
      <c r="D104" s="27" t="s">
        <v>263</v>
      </c>
      <c r="E104" s="42">
        <f>SUM(15*4*3*120)</f>
        <v>21600</v>
      </c>
      <c r="F104" s="162"/>
    </row>
    <row r="105" spans="1:6" x14ac:dyDescent="0.25">
      <c r="B105" s="119"/>
      <c r="C105" s="24" t="s">
        <v>0</v>
      </c>
      <c r="E105" s="28"/>
      <c r="F105" s="17">
        <v>0</v>
      </c>
    </row>
    <row r="106" spans="1:6" ht="15.75" customHeight="1" x14ac:dyDescent="0.25">
      <c r="B106" s="97"/>
      <c r="C106" s="18"/>
      <c r="D106" s="19"/>
      <c r="E106" s="25"/>
      <c r="F106" s="21"/>
    </row>
    <row r="107" spans="1:6" ht="19.899999999999999" customHeight="1" x14ac:dyDescent="0.25">
      <c r="A107" s="35"/>
      <c r="B107" s="8">
        <v>2.9</v>
      </c>
      <c r="C107" s="215" t="s">
        <v>25</v>
      </c>
      <c r="D107" s="215"/>
      <c r="E107" s="28"/>
      <c r="F107" s="28"/>
    </row>
    <row r="108" spans="1:6" s="90" customFormat="1" ht="47.45" customHeight="1" x14ac:dyDescent="0.25">
      <c r="A108" s="35"/>
      <c r="B108" s="97"/>
      <c r="C108" s="208" t="s">
        <v>264</v>
      </c>
      <c r="D108" s="208"/>
      <c r="E108" s="208"/>
      <c r="F108" s="208"/>
    </row>
    <row r="109" spans="1:6" s="2" customFormat="1" x14ac:dyDescent="0.25">
      <c r="A109" s="35"/>
      <c r="B109" s="120"/>
      <c r="C109" s="27" t="s">
        <v>8</v>
      </c>
      <c r="D109" s="27" t="s">
        <v>219</v>
      </c>
      <c r="E109" s="41">
        <f>30000*3</f>
        <v>90000</v>
      </c>
      <c r="F109" s="162"/>
    </row>
    <row r="110" spans="1:6" s="90" customFormat="1" ht="19.899999999999999" customHeight="1" x14ac:dyDescent="0.25">
      <c r="A110" s="35"/>
      <c r="B110" s="120"/>
      <c r="C110" s="27" t="s">
        <v>14</v>
      </c>
      <c r="D110" s="27" t="s">
        <v>220</v>
      </c>
      <c r="E110" s="41">
        <f>90*3*3*120</f>
        <v>97200</v>
      </c>
      <c r="F110" s="162"/>
    </row>
    <row r="111" spans="1:6" s="91" customFormat="1" ht="19.899999999999999" customHeight="1" x14ac:dyDescent="0.25">
      <c r="A111" s="35"/>
      <c r="B111" s="120"/>
      <c r="C111" s="27" t="s">
        <v>6</v>
      </c>
      <c r="D111" s="27" t="s">
        <v>265</v>
      </c>
      <c r="E111" s="41">
        <f>15*4*5*120</f>
        <v>36000</v>
      </c>
      <c r="F111" s="162"/>
    </row>
    <row r="112" spans="1:6" s="2" customFormat="1" ht="19.899999999999999" customHeight="1" x14ac:dyDescent="0.25">
      <c r="A112" s="35"/>
      <c r="B112" s="120"/>
      <c r="C112" s="27" t="s">
        <v>62</v>
      </c>
      <c r="D112" s="27" t="s">
        <v>192</v>
      </c>
      <c r="E112" s="41">
        <f>SUM(1000*120)</f>
        <v>120000</v>
      </c>
      <c r="F112" s="167"/>
    </row>
    <row r="113" spans="1:6" s="2" customFormat="1" ht="19.899999999999999" customHeight="1" x14ac:dyDescent="0.25">
      <c r="A113" s="35"/>
      <c r="B113" s="121"/>
      <c r="C113" s="141" t="s">
        <v>240</v>
      </c>
      <c r="D113" s="15" t="s">
        <v>266</v>
      </c>
      <c r="E113" s="13">
        <v>1000000</v>
      </c>
      <c r="F113" s="28"/>
    </row>
    <row r="114" spans="1:6" s="2" customFormat="1" x14ac:dyDescent="0.25">
      <c r="A114" s="35"/>
      <c r="B114" s="120"/>
      <c r="C114" s="27" t="s">
        <v>89</v>
      </c>
      <c r="D114" s="58" t="s">
        <v>201</v>
      </c>
      <c r="E114" s="41">
        <f>10000*120</f>
        <v>1200000</v>
      </c>
      <c r="F114" s="42"/>
    </row>
    <row r="115" spans="1:6" s="2" customFormat="1" ht="18" customHeight="1" x14ac:dyDescent="0.25">
      <c r="A115" s="35"/>
      <c r="B115" s="119"/>
      <c r="C115" s="47" t="s">
        <v>0</v>
      </c>
      <c r="D115" s="43"/>
      <c r="E115" s="42"/>
      <c r="F115" s="50">
        <v>1858524.1</v>
      </c>
    </row>
    <row r="116" spans="1:6" s="2" customFormat="1" ht="18" customHeight="1" x14ac:dyDescent="0.25">
      <c r="A116" s="35"/>
      <c r="B116" s="97"/>
      <c r="C116" s="18"/>
      <c r="D116" s="19"/>
      <c r="E116" s="25"/>
      <c r="F116" s="21"/>
    </row>
    <row r="117" spans="1:6" s="2" customFormat="1" ht="18" customHeight="1" x14ac:dyDescent="0.25">
      <c r="A117" s="35"/>
      <c r="B117" s="8" t="s">
        <v>133</v>
      </c>
      <c r="C117" s="39" t="s">
        <v>105</v>
      </c>
      <c r="D117" s="12"/>
      <c r="E117" s="28"/>
      <c r="F117" s="28"/>
    </row>
    <row r="118" spans="1:6" ht="41.45" customHeight="1" x14ac:dyDescent="0.25">
      <c r="B118" s="97"/>
      <c r="C118" s="200" t="s">
        <v>267</v>
      </c>
      <c r="D118" s="200"/>
      <c r="E118" s="200"/>
      <c r="F118" s="200"/>
    </row>
    <row r="119" spans="1:6" x14ac:dyDescent="0.25">
      <c r="B119" s="120"/>
      <c r="C119" s="27" t="s">
        <v>118</v>
      </c>
      <c r="D119" s="27" t="s">
        <v>268</v>
      </c>
      <c r="E119" s="41">
        <f>500*5*120</f>
        <v>300000</v>
      </c>
      <c r="F119" s="167"/>
    </row>
    <row r="120" spans="1:6" x14ac:dyDescent="0.25">
      <c r="B120" s="120"/>
      <c r="C120" s="27" t="s">
        <v>269</v>
      </c>
      <c r="D120" s="27" t="s">
        <v>270</v>
      </c>
      <c r="E120" s="41">
        <f>45000*5</f>
        <v>225000</v>
      </c>
      <c r="F120" s="162"/>
    </row>
    <row r="121" spans="1:6" ht="16.5" customHeight="1" x14ac:dyDescent="0.25">
      <c r="B121" s="120"/>
      <c r="C121" s="27" t="s">
        <v>108</v>
      </c>
      <c r="D121" s="27" t="s">
        <v>271</v>
      </c>
      <c r="E121" s="41">
        <f>250*5*3*120</f>
        <v>450000</v>
      </c>
      <c r="F121" s="162"/>
    </row>
    <row r="122" spans="1:6" s="2" customFormat="1" x14ac:dyDescent="0.25">
      <c r="A122" s="35"/>
      <c r="B122" s="120"/>
      <c r="C122" s="141" t="s">
        <v>240</v>
      </c>
      <c r="D122" s="27" t="s">
        <v>208</v>
      </c>
      <c r="E122" s="41">
        <v>250000</v>
      </c>
      <c r="F122" s="51"/>
    </row>
    <row r="123" spans="1:6" s="2" customFormat="1" x14ac:dyDescent="0.25">
      <c r="A123" s="35"/>
      <c r="B123" s="120"/>
      <c r="C123" s="27" t="s">
        <v>6</v>
      </c>
      <c r="D123" s="27" t="s">
        <v>272</v>
      </c>
      <c r="E123" s="41">
        <f>15*2*4*120</f>
        <v>14400</v>
      </c>
      <c r="F123" s="162"/>
    </row>
    <row r="124" spans="1:6" s="2" customFormat="1" x14ac:dyDescent="0.25">
      <c r="A124" s="35"/>
      <c r="B124" s="8"/>
      <c r="C124" s="24" t="s">
        <v>0</v>
      </c>
      <c r="D124" s="12"/>
      <c r="E124" s="28"/>
      <c r="F124" s="17">
        <f>SUM(E119:E123)</f>
        <v>1239400</v>
      </c>
    </row>
    <row r="125" spans="1:6" s="2" customFormat="1" x14ac:dyDescent="0.25">
      <c r="A125" s="35"/>
      <c r="B125" s="97"/>
      <c r="C125" s="18"/>
      <c r="D125" s="19"/>
      <c r="E125" s="25"/>
      <c r="F125" s="21"/>
    </row>
    <row r="126" spans="1:6" s="2" customFormat="1" x14ac:dyDescent="0.25">
      <c r="A126" s="35"/>
      <c r="B126" s="8">
        <v>2.11</v>
      </c>
      <c r="C126" s="110" t="s">
        <v>273</v>
      </c>
      <c r="D126" s="12"/>
      <c r="E126" s="28"/>
      <c r="F126" s="17"/>
    </row>
    <row r="127" spans="1:6" s="2" customFormat="1" ht="97.15" customHeight="1" x14ac:dyDescent="0.25">
      <c r="A127" s="35"/>
      <c r="B127" s="59"/>
      <c r="C127" s="219" t="s">
        <v>274</v>
      </c>
      <c r="D127" s="219"/>
      <c r="E127" s="219"/>
      <c r="F127" s="220"/>
    </row>
    <row r="128" spans="1:6" s="2" customFormat="1" x14ac:dyDescent="0.25">
      <c r="A128" s="35"/>
      <c r="B128" s="8"/>
      <c r="C128" s="111" t="s">
        <v>12</v>
      </c>
      <c r="D128" s="12" t="s">
        <v>275</v>
      </c>
      <c r="E128" s="28">
        <f>10*500*120</f>
        <v>600000</v>
      </c>
      <c r="F128" s="165"/>
    </row>
    <row r="129" spans="1:6" x14ac:dyDescent="0.25">
      <c r="C129" s="111" t="s">
        <v>276</v>
      </c>
      <c r="D129" s="12" t="s">
        <v>277</v>
      </c>
      <c r="E129" s="28">
        <f>10*3*130*120</f>
        <v>468000</v>
      </c>
      <c r="F129" s="165"/>
    </row>
    <row r="130" spans="1:6" ht="18" customHeight="1" x14ac:dyDescent="0.25">
      <c r="C130" s="111" t="s">
        <v>278</v>
      </c>
      <c r="D130" s="12" t="s">
        <v>279</v>
      </c>
      <c r="E130" s="28">
        <f>400*120</f>
        <v>48000</v>
      </c>
      <c r="F130" s="165"/>
    </row>
    <row r="131" spans="1:6" s="90" customFormat="1" ht="19.149999999999999" customHeight="1" x14ac:dyDescent="0.25">
      <c r="A131" s="35"/>
      <c r="B131" s="8"/>
      <c r="C131" s="111" t="s">
        <v>280</v>
      </c>
      <c r="D131" s="12" t="s">
        <v>281</v>
      </c>
      <c r="E131" s="28">
        <f>10*4*2*30*120</f>
        <v>288000</v>
      </c>
      <c r="F131" s="169"/>
    </row>
    <row r="132" spans="1:6" s="2" customFormat="1" x14ac:dyDescent="0.25">
      <c r="A132" s="35"/>
      <c r="B132" s="8"/>
      <c r="C132" s="111" t="s">
        <v>282</v>
      </c>
      <c r="D132" s="12" t="s">
        <v>283</v>
      </c>
      <c r="E132" s="28">
        <v>120000</v>
      </c>
      <c r="F132" s="169"/>
    </row>
    <row r="133" spans="1:6" s="90" customFormat="1" ht="18" customHeight="1" x14ac:dyDescent="0.25">
      <c r="A133" s="35"/>
      <c r="B133" s="8"/>
      <c r="C133" s="111" t="s">
        <v>284</v>
      </c>
      <c r="D133" s="12" t="s">
        <v>285</v>
      </c>
      <c r="E133" s="28">
        <v>240000</v>
      </c>
      <c r="F133" s="169"/>
    </row>
    <row r="134" spans="1:6" s="90" customFormat="1" ht="18.399999999999999" customHeight="1" x14ac:dyDescent="0.25">
      <c r="A134" s="35"/>
      <c r="B134" s="8"/>
      <c r="C134" s="111" t="s">
        <v>286</v>
      </c>
      <c r="D134" s="12" t="s">
        <v>283</v>
      </c>
      <c r="E134" s="28">
        <v>120000</v>
      </c>
      <c r="F134" s="169"/>
    </row>
    <row r="135" spans="1:6" s="90" customFormat="1" ht="16.149999999999999" customHeight="1" x14ac:dyDescent="0.25">
      <c r="A135" s="35"/>
      <c r="B135" s="8"/>
      <c r="C135" s="59" t="s">
        <v>62</v>
      </c>
      <c r="D135" s="12" t="s">
        <v>287</v>
      </c>
      <c r="E135" s="28">
        <v>60000</v>
      </c>
      <c r="F135" s="169"/>
    </row>
    <row r="136" spans="1:6" s="90" customFormat="1" x14ac:dyDescent="0.25">
      <c r="A136" s="35"/>
      <c r="B136" s="8"/>
      <c r="C136" s="112" t="s">
        <v>0</v>
      </c>
      <c r="D136" s="12"/>
      <c r="E136" s="28"/>
      <c r="F136" s="17">
        <f>SUM(E128:E135)</f>
        <v>1944000</v>
      </c>
    </row>
    <row r="137" spans="1:6" s="2" customFormat="1" x14ac:dyDescent="0.25">
      <c r="A137" s="35"/>
      <c r="B137" s="97"/>
      <c r="C137" s="18"/>
      <c r="D137" s="19"/>
      <c r="E137" s="25"/>
      <c r="F137" s="21"/>
    </row>
    <row r="138" spans="1:6" s="2" customFormat="1" x14ac:dyDescent="0.25">
      <c r="A138" s="35"/>
      <c r="B138" s="8">
        <v>2.12</v>
      </c>
      <c r="C138" s="39" t="s">
        <v>96</v>
      </c>
      <c r="D138" s="39"/>
      <c r="E138" s="28"/>
      <c r="F138" s="29"/>
    </row>
    <row r="139" spans="1:6" ht="82.15" customHeight="1" x14ac:dyDescent="0.25">
      <c r="B139" s="97"/>
      <c r="C139" s="208" t="s">
        <v>289</v>
      </c>
      <c r="D139" s="208"/>
      <c r="E139" s="208"/>
      <c r="F139" s="221"/>
    </row>
    <row r="140" spans="1:6" s="2" customFormat="1" ht="21" customHeight="1" x14ac:dyDescent="0.25">
      <c r="A140" s="35"/>
      <c r="B140" s="120"/>
      <c r="C140" s="59" t="s">
        <v>160</v>
      </c>
      <c r="D140" s="27" t="s">
        <v>290</v>
      </c>
      <c r="E140" s="42">
        <f>SUM(40000*120)</f>
        <v>4800000</v>
      </c>
      <c r="F140" s="42"/>
    </row>
    <row r="141" spans="1:6" ht="19.5" customHeight="1" x14ac:dyDescent="0.25">
      <c r="B141" s="120"/>
      <c r="C141" s="59" t="s">
        <v>229</v>
      </c>
      <c r="D141" s="15" t="s">
        <v>291</v>
      </c>
      <c r="E141" s="28">
        <v>80000</v>
      </c>
      <c r="F141" s="162"/>
    </row>
    <row r="142" spans="1:6" s="2" customFormat="1" x14ac:dyDescent="0.25">
      <c r="A142" s="35"/>
      <c r="B142" s="8"/>
      <c r="C142" s="24" t="s">
        <v>0</v>
      </c>
      <c r="D142" s="12"/>
      <c r="E142" s="28"/>
      <c r="F142" s="17">
        <v>4694724</v>
      </c>
    </row>
    <row r="143" spans="1:6" s="2" customFormat="1" x14ac:dyDescent="0.25">
      <c r="A143" s="35"/>
      <c r="B143" s="97"/>
      <c r="C143" s="18"/>
      <c r="D143" s="19"/>
      <c r="E143" s="25"/>
      <c r="F143" s="21"/>
    </row>
    <row r="144" spans="1:6" x14ac:dyDescent="0.25">
      <c r="B144" s="8">
        <v>2.13</v>
      </c>
      <c r="C144" s="215" t="s">
        <v>120</v>
      </c>
      <c r="D144" s="215"/>
      <c r="E144" s="28"/>
      <c r="F144" s="28"/>
    </row>
    <row r="145" spans="1:6" ht="34.9" customHeight="1" x14ac:dyDescent="0.25">
      <c r="B145" s="97"/>
      <c r="C145" s="195" t="s">
        <v>7</v>
      </c>
      <c r="D145" s="195"/>
      <c r="E145" s="195"/>
      <c r="F145" s="209"/>
    </row>
    <row r="146" spans="1:6" ht="18" customHeight="1" x14ac:dyDescent="0.25">
      <c r="B146" s="120"/>
      <c r="C146" s="74" t="s">
        <v>11</v>
      </c>
      <c r="D146" s="28" t="s">
        <v>241</v>
      </c>
      <c r="E146" s="28">
        <f>3000*120</f>
        <v>360000</v>
      </c>
      <c r="F146" s="114"/>
    </row>
    <row r="147" spans="1:6" s="2" customFormat="1" x14ac:dyDescent="0.25">
      <c r="A147" s="35"/>
      <c r="B147" s="120"/>
      <c r="C147" s="74" t="s">
        <v>193</v>
      </c>
      <c r="D147" s="28" t="s">
        <v>295</v>
      </c>
      <c r="E147" s="28">
        <f>SUM(800*120)</f>
        <v>96000</v>
      </c>
      <c r="F147" s="114"/>
    </row>
    <row r="148" spans="1:6" s="2" customFormat="1" x14ac:dyDescent="0.25">
      <c r="A148" s="35"/>
      <c r="B148" s="120"/>
      <c r="C148" s="27" t="s">
        <v>292</v>
      </c>
      <c r="D148" s="27" t="s">
        <v>293</v>
      </c>
      <c r="E148" s="41">
        <v>50000</v>
      </c>
      <c r="F148" s="164"/>
    </row>
    <row r="149" spans="1:6" x14ac:dyDescent="0.25">
      <c r="B149" s="120"/>
      <c r="C149" s="27" t="s">
        <v>294</v>
      </c>
      <c r="D149" s="28" t="s">
        <v>296</v>
      </c>
      <c r="E149" s="28">
        <f>SUM(125*2*120)</f>
        <v>30000</v>
      </c>
      <c r="F149" s="164"/>
    </row>
    <row r="150" spans="1:6" x14ac:dyDescent="0.25">
      <c r="B150" s="120"/>
      <c r="C150" s="27" t="s">
        <v>115</v>
      </c>
      <c r="D150" s="28" t="s">
        <v>297</v>
      </c>
      <c r="E150" s="28">
        <f>SUM(15*2*120)</f>
        <v>3600</v>
      </c>
      <c r="F150" s="164"/>
    </row>
    <row r="151" spans="1:6" x14ac:dyDescent="0.25">
      <c r="C151" s="24" t="s">
        <v>0</v>
      </c>
      <c r="E151" s="28"/>
      <c r="F151" s="17">
        <v>352117.5</v>
      </c>
    </row>
    <row r="152" spans="1:6" ht="17.25" customHeight="1" x14ac:dyDescent="0.25">
      <c r="B152" s="97"/>
      <c r="C152" s="18"/>
      <c r="D152" s="19"/>
      <c r="E152" s="25"/>
      <c r="F152" s="21"/>
    </row>
    <row r="153" spans="1:6" s="2" customFormat="1" x14ac:dyDescent="0.25">
      <c r="A153" s="35"/>
      <c r="B153" s="8">
        <v>2.14</v>
      </c>
      <c r="C153" s="31" t="s">
        <v>176</v>
      </c>
      <c r="D153" s="32"/>
      <c r="E153" s="13"/>
      <c r="F153" s="17"/>
    </row>
    <row r="154" spans="1:6" s="2" customFormat="1" x14ac:dyDescent="0.25">
      <c r="A154" s="35"/>
      <c r="B154" s="97"/>
      <c r="C154" s="208" t="s">
        <v>194</v>
      </c>
      <c r="D154" s="208"/>
      <c r="E154" s="208"/>
      <c r="F154" s="208"/>
    </row>
    <row r="155" spans="1:6" s="2" customFormat="1" x14ac:dyDescent="0.25">
      <c r="A155" s="35"/>
      <c r="B155" s="120"/>
      <c r="C155" s="74" t="s">
        <v>9</v>
      </c>
      <c r="D155" s="60" t="s">
        <v>248</v>
      </c>
      <c r="E155" s="41">
        <v>60000</v>
      </c>
      <c r="F155" s="114"/>
    </row>
    <row r="156" spans="1:6" s="2" customFormat="1" x14ac:dyDescent="0.25">
      <c r="A156" s="35"/>
      <c r="B156" s="8"/>
      <c r="C156" s="30" t="s">
        <v>0</v>
      </c>
      <c r="D156" s="24"/>
      <c r="E156" s="28"/>
      <c r="F156" s="29">
        <v>58736.05</v>
      </c>
    </row>
    <row r="157" spans="1:6" s="2" customFormat="1" x14ac:dyDescent="0.25">
      <c r="A157" s="35"/>
      <c r="B157" s="97"/>
      <c r="C157" s="18"/>
      <c r="D157" s="19"/>
      <c r="E157" s="25"/>
      <c r="F157" s="21"/>
    </row>
    <row r="158" spans="1:6" x14ac:dyDescent="0.25">
      <c r="B158" s="8">
        <v>2.15</v>
      </c>
      <c r="C158" s="31" t="s">
        <v>107</v>
      </c>
      <c r="D158" s="32"/>
      <c r="E158" s="13"/>
      <c r="F158" s="17"/>
    </row>
    <row r="159" spans="1:6" x14ac:dyDescent="0.25">
      <c r="B159" s="97"/>
      <c r="C159" s="208" t="s">
        <v>10</v>
      </c>
      <c r="D159" s="208"/>
      <c r="E159" s="208"/>
      <c r="F159" s="218"/>
    </row>
    <row r="160" spans="1:6" x14ac:dyDescent="0.25">
      <c r="B160" s="120"/>
      <c r="C160" s="74" t="s">
        <v>9</v>
      </c>
      <c r="D160" s="60" t="s">
        <v>288</v>
      </c>
      <c r="E160" s="41">
        <f>5000*120</f>
        <v>600000</v>
      </c>
      <c r="F160" s="114"/>
    </row>
    <row r="161" spans="1:6" ht="16.5" customHeight="1" x14ac:dyDescent="0.25">
      <c r="C161" s="30" t="s">
        <v>0</v>
      </c>
      <c r="D161" s="24"/>
      <c r="E161" s="28"/>
      <c r="F161" s="29">
        <v>586961.5</v>
      </c>
    </row>
    <row r="162" spans="1:6" s="2" customFormat="1" ht="17.649999999999999" customHeight="1" x14ac:dyDescent="0.25">
      <c r="A162" s="35"/>
      <c r="B162" s="97"/>
      <c r="C162" s="18"/>
      <c r="D162" s="19"/>
      <c r="E162" s="25"/>
      <c r="F162" s="21"/>
    </row>
    <row r="163" spans="1:6" s="2" customFormat="1" ht="18.399999999999999" customHeight="1" x14ac:dyDescent="0.25">
      <c r="A163" s="35"/>
      <c r="B163" s="8">
        <v>2.16</v>
      </c>
      <c r="C163" s="31" t="s">
        <v>161</v>
      </c>
      <c r="D163" s="32"/>
      <c r="E163" s="13"/>
      <c r="F163" s="17"/>
    </row>
    <row r="164" spans="1:6" s="2" customFormat="1" x14ac:dyDescent="0.25">
      <c r="A164" s="35"/>
      <c r="B164" s="97"/>
      <c r="C164" s="208" t="s">
        <v>162</v>
      </c>
      <c r="D164" s="208"/>
      <c r="E164" s="208"/>
      <c r="F164" s="218"/>
    </row>
    <row r="165" spans="1:6" x14ac:dyDescent="0.25">
      <c r="B165" s="120"/>
      <c r="C165" s="74" t="s">
        <v>9</v>
      </c>
      <c r="D165" s="60" t="s">
        <v>288</v>
      </c>
      <c r="E165" s="41">
        <f>5000*120</f>
        <v>600000</v>
      </c>
      <c r="F165" s="114"/>
    </row>
    <row r="166" spans="1:6" x14ac:dyDescent="0.25">
      <c r="A166" s="4"/>
      <c r="C166" s="30" t="s">
        <v>0</v>
      </c>
      <c r="D166" s="24"/>
      <c r="E166" s="28"/>
      <c r="F166" s="29">
        <v>586862.5</v>
      </c>
    </row>
    <row r="167" spans="1:6" x14ac:dyDescent="0.25">
      <c r="A167" s="4"/>
      <c r="B167" s="97"/>
      <c r="C167" s="18"/>
      <c r="D167" s="19"/>
      <c r="E167" s="25"/>
      <c r="F167" s="21"/>
    </row>
    <row r="168" spans="1:6" s="2" customFormat="1" x14ac:dyDescent="0.25">
      <c r="A168" s="35"/>
      <c r="B168" s="102"/>
      <c r="C168" s="115"/>
      <c r="D168" s="22" t="s">
        <v>22</v>
      </c>
      <c r="E168" s="71"/>
      <c r="F168" s="70">
        <f>+F41+F52+F62+F75+F90+F95+F100+F105+F115+F124+F136+F142+F151+F156+F161+F166</f>
        <v>49989906.170000002</v>
      </c>
    </row>
    <row r="169" spans="1:6" x14ac:dyDescent="0.25">
      <c r="B169" s="8">
        <v>3</v>
      </c>
      <c r="C169" s="23" t="s">
        <v>119</v>
      </c>
      <c r="E169" s="28"/>
      <c r="F169" s="28"/>
    </row>
    <row r="170" spans="1:6" x14ac:dyDescent="0.25">
      <c r="C170" s="23"/>
      <c r="E170" s="28"/>
      <c r="F170" s="28"/>
    </row>
    <row r="171" spans="1:6" x14ac:dyDescent="0.25">
      <c r="B171" s="8" t="s">
        <v>134</v>
      </c>
      <c r="C171" s="39" t="s">
        <v>106</v>
      </c>
      <c r="E171" s="28"/>
      <c r="F171" s="28"/>
    </row>
    <row r="172" spans="1:6" ht="43.15" customHeight="1" x14ac:dyDescent="0.25">
      <c r="B172" s="118"/>
      <c r="C172" s="207" t="s">
        <v>338</v>
      </c>
      <c r="D172" s="207"/>
      <c r="E172" s="207"/>
      <c r="F172" s="207"/>
    </row>
    <row r="173" spans="1:6" ht="18" customHeight="1" x14ac:dyDescent="0.25">
      <c r="B173" s="121"/>
      <c r="C173" s="15" t="s">
        <v>214</v>
      </c>
      <c r="E173" s="13">
        <v>1000000</v>
      </c>
      <c r="F173" s="28"/>
    </row>
    <row r="174" spans="1:6" x14ac:dyDescent="0.25">
      <c r="C174" s="30" t="s">
        <v>0</v>
      </c>
      <c r="E174" s="28"/>
      <c r="F174" s="29">
        <f>E173</f>
        <v>1000000</v>
      </c>
    </row>
    <row r="175" spans="1:6" x14ac:dyDescent="0.25">
      <c r="B175" s="118"/>
      <c r="C175" s="18"/>
      <c r="D175" s="19"/>
      <c r="E175" s="25"/>
      <c r="F175" s="21"/>
    </row>
    <row r="176" spans="1:6" s="2" customFormat="1" x14ac:dyDescent="0.25">
      <c r="A176" s="6"/>
      <c r="B176" s="119" t="s">
        <v>135</v>
      </c>
      <c r="C176" s="33" t="s">
        <v>109</v>
      </c>
      <c r="D176" s="34"/>
      <c r="E176" s="73"/>
      <c r="F176" s="73"/>
    </row>
    <row r="177" spans="1:6" s="3" customFormat="1" ht="18" customHeight="1" x14ac:dyDescent="0.25">
      <c r="A177" s="6"/>
      <c r="B177" s="10"/>
      <c r="C177" s="197" t="s">
        <v>339</v>
      </c>
      <c r="D177" s="197"/>
      <c r="E177" s="197"/>
      <c r="F177" s="197"/>
    </row>
    <row r="178" spans="1:6" s="2" customFormat="1" ht="15.75" customHeight="1" x14ac:dyDescent="0.25">
      <c r="A178" s="35"/>
      <c r="B178" s="120"/>
      <c r="C178" s="205" t="s">
        <v>340</v>
      </c>
      <c r="D178" s="206"/>
      <c r="E178" s="41">
        <v>500000</v>
      </c>
      <c r="F178" s="81"/>
    </row>
    <row r="179" spans="1:6" s="2" customFormat="1" x14ac:dyDescent="0.25">
      <c r="A179" s="35"/>
      <c r="B179" s="119"/>
      <c r="C179" s="74" t="s">
        <v>110</v>
      </c>
      <c r="D179" s="74"/>
      <c r="E179" s="41">
        <v>500000</v>
      </c>
      <c r="F179" s="59"/>
    </row>
    <row r="180" spans="1:6" s="2" customFormat="1" x14ac:dyDescent="0.25">
      <c r="A180" s="6"/>
      <c r="B180" s="119"/>
      <c r="C180" s="30" t="s">
        <v>0</v>
      </c>
      <c r="D180" s="6"/>
      <c r="E180" s="64"/>
      <c r="F180" s="29">
        <v>0</v>
      </c>
    </row>
    <row r="181" spans="1:6" s="2" customFormat="1" x14ac:dyDescent="0.25">
      <c r="A181" s="6"/>
      <c r="B181" s="10"/>
      <c r="C181" s="54"/>
      <c r="D181" s="54"/>
      <c r="E181" s="63"/>
      <c r="F181" s="63"/>
    </row>
    <row r="182" spans="1:6" s="2" customFormat="1" x14ac:dyDescent="0.25">
      <c r="A182" s="6"/>
      <c r="B182" s="119" t="s">
        <v>136</v>
      </c>
      <c r="C182" s="33" t="s">
        <v>224</v>
      </c>
      <c r="D182" s="34"/>
      <c r="E182" s="73"/>
      <c r="F182" s="73"/>
    </row>
    <row r="183" spans="1:6" s="2" customFormat="1" ht="39.4" customHeight="1" x14ac:dyDescent="0.25">
      <c r="A183" s="6"/>
      <c r="B183" s="118"/>
      <c r="C183" s="197" t="s">
        <v>341</v>
      </c>
      <c r="D183" s="197"/>
      <c r="E183" s="197"/>
      <c r="F183" s="197"/>
    </row>
    <row r="184" spans="1:6" s="2" customFormat="1" x14ac:dyDescent="0.25">
      <c r="A184" s="35"/>
      <c r="B184" s="120"/>
      <c r="C184" s="74" t="s">
        <v>111</v>
      </c>
      <c r="D184" s="74"/>
      <c r="E184" s="41">
        <v>1000000</v>
      </c>
      <c r="F184" s="82"/>
    </row>
    <row r="185" spans="1:6" s="2" customFormat="1" x14ac:dyDescent="0.25">
      <c r="A185" s="6"/>
      <c r="B185" s="119"/>
      <c r="C185" s="30" t="s">
        <v>0</v>
      </c>
      <c r="D185" s="6"/>
      <c r="E185" s="64"/>
      <c r="F185" s="29">
        <f>SUM(E184:E184)</f>
        <v>1000000</v>
      </c>
    </row>
    <row r="186" spans="1:6" s="2" customFormat="1" x14ac:dyDescent="0.25">
      <c r="A186" s="6"/>
      <c r="B186" s="118"/>
      <c r="C186" s="204"/>
      <c r="D186" s="204"/>
      <c r="E186" s="204"/>
      <c r="F186" s="204"/>
    </row>
    <row r="187" spans="1:6" s="2" customFormat="1" x14ac:dyDescent="0.25">
      <c r="A187" s="35"/>
      <c r="B187" s="119" t="s">
        <v>137</v>
      </c>
      <c r="C187" s="31" t="s">
        <v>124</v>
      </c>
      <c r="D187" s="6"/>
      <c r="E187" s="64"/>
      <c r="F187" s="29"/>
    </row>
    <row r="188" spans="1:6" s="2" customFormat="1" ht="35.65" customHeight="1" x14ac:dyDescent="0.25">
      <c r="A188" s="35"/>
      <c r="B188" s="118"/>
      <c r="C188" s="197" t="s">
        <v>342</v>
      </c>
      <c r="D188" s="197"/>
      <c r="E188" s="197"/>
      <c r="F188" s="197"/>
    </row>
    <row r="189" spans="1:6" s="2" customFormat="1" ht="18.600000000000001" customHeight="1" x14ac:dyDescent="0.25">
      <c r="A189" s="35"/>
      <c r="B189" s="120"/>
      <c r="C189" s="74" t="s">
        <v>163</v>
      </c>
      <c r="D189" s="35"/>
      <c r="E189" s="53">
        <v>300000</v>
      </c>
      <c r="F189" s="42"/>
    </row>
    <row r="190" spans="1:6" s="2" customFormat="1" x14ac:dyDescent="0.25">
      <c r="A190" s="35"/>
      <c r="B190" s="120"/>
      <c r="C190" s="74" t="s">
        <v>164</v>
      </c>
      <c r="D190" s="35"/>
      <c r="E190" s="53">
        <v>200000</v>
      </c>
      <c r="F190" s="42"/>
    </row>
    <row r="191" spans="1:6" s="2" customFormat="1" x14ac:dyDescent="0.25">
      <c r="A191" s="35"/>
      <c r="B191" s="120"/>
      <c r="C191" s="74" t="s">
        <v>343</v>
      </c>
      <c r="D191" s="35"/>
      <c r="E191" s="53">
        <f>200000+300000</f>
        <v>500000</v>
      </c>
      <c r="F191" s="42"/>
    </row>
    <row r="192" spans="1:6" s="2" customFormat="1" x14ac:dyDescent="0.25">
      <c r="A192" s="35"/>
      <c r="B192" s="119"/>
      <c r="C192" s="30" t="s">
        <v>0</v>
      </c>
      <c r="D192" s="6"/>
      <c r="E192" s="64"/>
      <c r="F192" s="29">
        <v>0</v>
      </c>
    </row>
    <row r="193" spans="1:6" s="2" customFormat="1" x14ac:dyDescent="0.25">
      <c r="A193" s="35"/>
      <c r="B193" s="118"/>
      <c r="C193" s="204"/>
      <c r="D193" s="204"/>
      <c r="E193" s="204"/>
      <c r="F193" s="204"/>
    </row>
    <row r="194" spans="1:6" x14ac:dyDescent="0.25">
      <c r="A194" s="35"/>
      <c r="B194" s="8" t="s">
        <v>138</v>
      </c>
      <c r="C194" s="39" t="s">
        <v>168</v>
      </c>
      <c r="D194" s="39"/>
      <c r="E194" s="28"/>
      <c r="F194" s="29"/>
    </row>
    <row r="195" spans="1:6" ht="37.15" customHeight="1" x14ac:dyDescent="0.25">
      <c r="A195" s="35"/>
      <c r="B195" s="118"/>
      <c r="C195" s="185" t="s">
        <v>344</v>
      </c>
      <c r="D195" s="185"/>
      <c r="E195" s="185"/>
      <c r="F195" s="186"/>
    </row>
    <row r="196" spans="1:6" s="2" customFormat="1" x14ac:dyDescent="0.25">
      <c r="A196" s="35"/>
      <c r="B196" s="120"/>
      <c r="C196" s="111" t="s">
        <v>94</v>
      </c>
      <c r="D196" s="15" t="s">
        <v>167</v>
      </c>
      <c r="E196" s="28">
        <v>120000</v>
      </c>
      <c r="F196" s="28"/>
    </row>
    <row r="197" spans="1:6" s="2" customFormat="1" x14ac:dyDescent="0.25">
      <c r="A197" s="35"/>
      <c r="B197" s="119"/>
      <c r="C197" s="116" t="s">
        <v>0</v>
      </c>
      <c r="D197" s="127"/>
      <c r="E197" s="28"/>
      <c r="F197" s="128">
        <f>SUM(E196:E196)</f>
        <v>120000</v>
      </c>
    </row>
    <row r="198" spans="1:6" s="2" customFormat="1" x14ac:dyDescent="0.25">
      <c r="A198" s="35"/>
      <c r="B198" s="204"/>
      <c r="C198" s="204"/>
      <c r="D198" s="204"/>
      <c r="E198" s="204"/>
      <c r="F198" s="54"/>
    </row>
    <row r="199" spans="1:6" x14ac:dyDescent="0.25">
      <c r="A199" s="35"/>
      <c r="B199" s="8" t="s">
        <v>139</v>
      </c>
      <c r="C199" s="39" t="s">
        <v>103</v>
      </c>
      <c r="D199" s="39"/>
      <c r="E199" s="28"/>
      <c r="F199" s="29"/>
    </row>
    <row r="200" spans="1:6" ht="64.900000000000006" customHeight="1" x14ac:dyDescent="0.25">
      <c r="A200" s="35"/>
      <c r="B200" s="118"/>
      <c r="C200" s="185" t="s">
        <v>93</v>
      </c>
      <c r="D200" s="185"/>
      <c r="E200" s="185"/>
      <c r="F200" s="186"/>
    </row>
    <row r="201" spans="1:6" s="2" customFormat="1" x14ac:dyDescent="0.25">
      <c r="A201" s="35"/>
      <c r="B201" s="120"/>
      <c r="C201" s="111" t="s">
        <v>94</v>
      </c>
      <c r="D201" s="15" t="s">
        <v>401</v>
      </c>
      <c r="E201" s="28">
        <v>160000</v>
      </c>
      <c r="F201" s="28"/>
    </row>
    <row r="202" spans="1:6" s="2" customFormat="1" x14ac:dyDescent="0.25">
      <c r="A202" s="35"/>
      <c r="B202" s="120"/>
      <c r="C202" s="6" t="s">
        <v>95</v>
      </c>
      <c r="D202" s="127" t="s">
        <v>147</v>
      </c>
      <c r="E202" s="28">
        <v>30000</v>
      </c>
      <c r="F202" s="168"/>
    </row>
    <row r="203" spans="1:6" x14ac:dyDescent="0.25">
      <c r="A203" s="35"/>
      <c r="C203" s="24" t="s">
        <v>0</v>
      </c>
      <c r="E203" s="28"/>
      <c r="F203" s="17">
        <f>SUM(E201:E202)</f>
        <v>190000</v>
      </c>
    </row>
    <row r="204" spans="1:6" s="2" customFormat="1" x14ac:dyDescent="0.25">
      <c r="A204" s="35"/>
      <c r="B204" s="204"/>
      <c r="C204" s="204"/>
      <c r="D204" s="204"/>
      <c r="E204" s="204"/>
      <c r="F204" s="54"/>
    </row>
    <row r="205" spans="1:6" x14ac:dyDescent="0.25">
      <c r="A205" s="35"/>
      <c r="B205" s="8" t="s">
        <v>140</v>
      </c>
      <c r="C205" s="39" t="s">
        <v>104</v>
      </c>
      <c r="D205" s="39"/>
      <c r="E205" s="15"/>
      <c r="F205" s="15"/>
    </row>
    <row r="206" spans="1:6" ht="34.9" customHeight="1" x14ac:dyDescent="0.25">
      <c r="A206" s="35"/>
      <c r="B206" s="118"/>
      <c r="C206" s="185" t="s">
        <v>345</v>
      </c>
      <c r="D206" s="185"/>
      <c r="E206" s="185"/>
      <c r="F206" s="189"/>
    </row>
    <row r="207" spans="1:6" s="2" customFormat="1" x14ac:dyDescent="0.25">
      <c r="A207" s="35"/>
      <c r="B207" s="120"/>
      <c r="C207" s="15" t="s">
        <v>92</v>
      </c>
      <c r="D207" s="15"/>
      <c r="E207" s="28">
        <v>150000</v>
      </c>
      <c r="F207" s="28"/>
    </row>
    <row r="208" spans="1:6" x14ac:dyDescent="0.25">
      <c r="A208" s="35"/>
      <c r="C208" s="24" t="s">
        <v>0</v>
      </c>
      <c r="E208" s="15"/>
      <c r="F208" s="17">
        <f>SUM(E207:E207)</f>
        <v>150000</v>
      </c>
    </row>
    <row r="209" spans="1:6" x14ac:dyDescent="0.25">
      <c r="B209" s="118"/>
      <c r="C209" s="18"/>
      <c r="D209" s="19"/>
      <c r="E209" s="25"/>
      <c r="F209" s="21"/>
    </row>
    <row r="210" spans="1:6" x14ac:dyDescent="0.25">
      <c r="A210" s="35"/>
      <c r="B210" s="8" t="s">
        <v>141</v>
      </c>
      <c r="C210" s="39" t="s">
        <v>346</v>
      </c>
      <c r="D210" s="39"/>
      <c r="E210" s="15"/>
      <c r="F210" s="15"/>
    </row>
    <row r="211" spans="1:6" ht="47.25" customHeight="1" x14ac:dyDescent="0.25">
      <c r="A211" s="35"/>
      <c r="B211" s="118"/>
      <c r="C211" s="185" t="s">
        <v>347</v>
      </c>
      <c r="D211" s="185"/>
      <c r="E211" s="185"/>
      <c r="F211" s="189"/>
    </row>
    <row r="212" spans="1:6" s="173" customFormat="1" x14ac:dyDescent="0.25">
      <c r="A212" s="44"/>
      <c r="B212" s="120"/>
      <c r="C212" s="44" t="s">
        <v>348</v>
      </c>
      <c r="D212" s="27"/>
      <c r="E212" s="42">
        <f>12000000-5000000</f>
        <v>7000000</v>
      </c>
      <c r="F212" s="48"/>
    </row>
    <row r="213" spans="1:6" s="78" customFormat="1" x14ac:dyDescent="0.25">
      <c r="A213" s="87"/>
      <c r="B213" s="123"/>
      <c r="C213" s="88" t="s">
        <v>0</v>
      </c>
      <c r="D213" s="89"/>
      <c r="E213" s="89"/>
      <c r="F213" s="17">
        <v>5300000</v>
      </c>
    </row>
    <row r="214" spans="1:6" s="78" customFormat="1" x14ac:dyDescent="0.25">
      <c r="A214" s="87"/>
      <c r="B214" s="118"/>
      <c r="C214" s="18"/>
      <c r="D214" s="19"/>
      <c r="E214" s="25"/>
      <c r="F214" s="21"/>
    </row>
    <row r="215" spans="1:6" s="78" customFormat="1" x14ac:dyDescent="0.25">
      <c r="A215" s="62"/>
      <c r="B215" s="8" t="s">
        <v>142</v>
      </c>
      <c r="C215" s="39" t="s">
        <v>349</v>
      </c>
      <c r="D215" s="39"/>
      <c r="E215" s="28"/>
      <c r="F215" s="29"/>
    </row>
    <row r="216" spans="1:6" s="78" customFormat="1" ht="80.45" customHeight="1" x14ac:dyDescent="0.25">
      <c r="A216" s="62"/>
      <c r="B216" s="118"/>
      <c r="C216" s="193" t="s">
        <v>350</v>
      </c>
      <c r="D216" s="193"/>
      <c r="E216" s="193"/>
      <c r="F216" s="194"/>
    </row>
    <row r="217" spans="1:6" s="92" customFormat="1" x14ac:dyDescent="0.25">
      <c r="A217" s="44"/>
      <c r="B217" s="120"/>
      <c r="C217" s="59" t="s">
        <v>165</v>
      </c>
      <c r="D217" s="27"/>
      <c r="E217" s="42">
        <v>1000000</v>
      </c>
      <c r="F217" s="41"/>
    </row>
    <row r="218" spans="1:6" s="52" customFormat="1" x14ac:dyDescent="0.25">
      <c r="A218" s="35"/>
      <c r="B218" s="119"/>
      <c r="C218" s="47" t="s">
        <v>0</v>
      </c>
      <c r="D218" s="43"/>
      <c r="E218" s="42"/>
      <c r="F218" s="50">
        <v>840000</v>
      </c>
    </row>
    <row r="219" spans="1:6" x14ac:dyDescent="0.25">
      <c r="B219" s="118"/>
      <c r="C219" s="18"/>
      <c r="D219" s="19"/>
      <c r="E219" s="25"/>
      <c r="F219" s="21"/>
    </row>
    <row r="220" spans="1:6" ht="21" customHeight="1" x14ac:dyDescent="0.25">
      <c r="B220" s="49" t="s">
        <v>169</v>
      </c>
      <c r="C220" s="49" t="s">
        <v>351</v>
      </c>
      <c r="D220" s="55"/>
      <c r="E220" s="42"/>
      <c r="F220" s="48"/>
    </row>
    <row r="221" spans="1:6" ht="24" customHeight="1" x14ac:dyDescent="0.25">
      <c r="B221" s="118"/>
      <c r="C221" s="191" t="s">
        <v>204</v>
      </c>
      <c r="D221" s="192"/>
      <c r="E221" s="192"/>
      <c r="F221" s="192"/>
    </row>
    <row r="222" spans="1:6" s="2" customFormat="1" x14ac:dyDescent="0.25">
      <c r="A222" s="35"/>
      <c r="B222" s="59"/>
      <c r="C222" s="59" t="s">
        <v>165</v>
      </c>
      <c r="D222" s="27"/>
      <c r="E222" s="42">
        <f>8000000-7000000</f>
        <v>1000000</v>
      </c>
      <c r="F222" s="42"/>
    </row>
    <row r="223" spans="1:6" x14ac:dyDescent="0.25">
      <c r="A223" s="35"/>
      <c r="B223" s="49"/>
      <c r="D223" s="55" t="s">
        <v>166</v>
      </c>
      <c r="E223" s="42"/>
      <c r="F223" s="48">
        <v>0</v>
      </c>
    </row>
    <row r="224" spans="1:6" x14ac:dyDescent="0.25">
      <c r="A224" s="35"/>
      <c r="B224" s="118"/>
      <c r="C224" s="18"/>
      <c r="D224" s="19"/>
      <c r="E224" s="25"/>
      <c r="F224" s="21"/>
    </row>
    <row r="225" spans="1:6" s="2" customFormat="1" x14ac:dyDescent="0.25">
      <c r="A225" s="35"/>
      <c r="B225" s="49" t="s">
        <v>175</v>
      </c>
      <c r="C225" s="49" t="s">
        <v>352</v>
      </c>
      <c r="D225" s="55"/>
      <c r="E225" s="53"/>
      <c r="F225" s="48"/>
    </row>
    <row r="226" spans="1:6" ht="51" customHeight="1" x14ac:dyDescent="0.25">
      <c r="A226" s="35"/>
      <c r="B226" s="118"/>
      <c r="C226" s="191" t="s">
        <v>353</v>
      </c>
      <c r="D226" s="199"/>
      <c r="E226" s="199"/>
      <c r="F226" s="199"/>
    </row>
    <row r="227" spans="1:6" s="90" customFormat="1" ht="19.149999999999999" customHeight="1" x14ac:dyDescent="0.25">
      <c r="A227" s="35"/>
      <c r="B227" s="59"/>
      <c r="C227" s="59" t="s">
        <v>165</v>
      </c>
      <c r="D227" s="27"/>
      <c r="E227" s="42">
        <v>800000</v>
      </c>
      <c r="F227" s="42"/>
    </row>
    <row r="228" spans="1:6" s="2" customFormat="1" x14ac:dyDescent="0.25">
      <c r="A228" s="35"/>
      <c r="B228" s="49"/>
      <c r="C228" s="6"/>
      <c r="D228" s="55" t="s">
        <v>166</v>
      </c>
      <c r="E228" s="42"/>
      <c r="F228" s="48">
        <f>SUM(E227:E227)</f>
        <v>800000</v>
      </c>
    </row>
    <row r="229" spans="1:6" x14ac:dyDescent="0.25">
      <c r="A229" s="35"/>
      <c r="B229" s="118"/>
      <c r="C229" s="18"/>
      <c r="D229" s="19"/>
      <c r="E229" s="20"/>
      <c r="F229" s="21"/>
    </row>
    <row r="230" spans="1:6" x14ac:dyDescent="0.25">
      <c r="A230" s="35"/>
      <c r="B230" s="118" t="s">
        <v>392</v>
      </c>
      <c r="C230" s="118" t="s">
        <v>393</v>
      </c>
      <c r="D230" s="177"/>
      <c r="E230" s="20"/>
      <c r="F230" s="25"/>
    </row>
    <row r="231" spans="1:6" x14ac:dyDescent="0.25">
      <c r="A231" s="35"/>
      <c r="B231"/>
      <c r="C231" s="1" t="s">
        <v>394</v>
      </c>
      <c r="D231"/>
      <c r="E231"/>
      <c r="F231"/>
    </row>
    <row r="232" spans="1:6" x14ac:dyDescent="0.25">
      <c r="A232" s="35"/>
      <c r="B232"/>
      <c r="C232" t="s">
        <v>111</v>
      </c>
      <c r="D232"/>
      <c r="E232" s="182">
        <v>5090160</v>
      </c>
      <c r="F232"/>
    </row>
    <row r="233" spans="1:6" x14ac:dyDescent="0.25">
      <c r="A233" s="35"/>
      <c r="B233"/>
      <c r="C233"/>
      <c r="D233" t="s">
        <v>0</v>
      </c>
      <c r="E233"/>
      <c r="F233" s="183">
        <v>5090160</v>
      </c>
    </row>
    <row r="234" spans="1:6" x14ac:dyDescent="0.25">
      <c r="A234" s="35"/>
      <c r="B234" s="96"/>
      <c r="C234" s="176"/>
      <c r="D234" s="177"/>
      <c r="E234" s="20"/>
      <c r="F234" s="25"/>
    </row>
    <row r="235" spans="1:6" x14ac:dyDescent="0.25">
      <c r="C235" s="26"/>
      <c r="D235" s="36" t="s">
        <v>122</v>
      </c>
      <c r="E235" s="37"/>
      <c r="F235" s="38">
        <f>+F174+F180+F185+F192+F197+F203+F208+F213+F218+F223+F228+F233</f>
        <v>14490160</v>
      </c>
    </row>
    <row r="236" spans="1:6" ht="21" customHeight="1" x14ac:dyDescent="0.25">
      <c r="A236" s="4"/>
      <c r="B236" s="49">
        <v>4</v>
      </c>
      <c r="C236" s="49" t="s">
        <v>206</v>
      </c>
      <c r="D236" s="55"/>
      <c r="E236" s="42"/>
      <c r="F236" s="48"/>
    </row>
    <row r="237" spans="1:6" ht="266.45" customHeight="1" x14ac:dyDescent="0.25">
      <c r="B237" s="118"/>
      <c r="C237" s="191" t="s">
        <v>298</v>
      </c>
      <c r="D237" s="192"/>
      <c r="E237" s="192"/>
      <c r="F237" s="192"/>
    </row>
    <row r="238" spans="1:6" ht="16.899999999999999" customHeight="1" x14ac:dyDescent="0.25">
      <c r="C238" s="77" t="s">
        <v>299</v>
      </c>
      <c r="D238" s="77"/>
      <c r="E238" s="12"/>
      <c r="F238" s="6"/>
    </row>
    <row r="239" spans="1:6" ht="16.899999999999999" customHeight="1" x14ac:dyDescent="0.25">
      <c r="B239" s="118"/>
      <c r="C239" s="197"/>
      <c r="D239" s="197"/>
      <c r="E239" s="197"/>
      <c r="F239" s="198"/>
    </row>
    <row r="240" spans="1:6" s="2" customFormat="1" ht="16.899999999999999" customHeight="1" x14ac:dyDescent="0.25">
      <c r="A240" s="35"/>
      <c r="B240" s="120"/>
      <c r="C240" s="113" t="s">
        <v>300</v>
      </c>
      <c r="D240" s="113" t="s">
        <v>301</v>
      </c>
      <c r="E240" s="124">
        <v>60000</v>
      </c>
      <c r="F240" s="170"/>
    </row>
    <row r="241" spans="1:6" s="2" customFormat="1" ht="16.899999999999999" customHeight="1" x14ac:dyDescent="0.25">
      <c r="A241" s="35"/>
      <c r="B241" s="120"/>
      <c r="C241" s="113" t="s">
        <v>302</v>
      </c>
      <c r="D241" s="113" t="s">
        <v>303</v>
      </c>
      <c r="E241" s="124">
        <f>80000</f>
        <v>80000</v>
      </c>
      <c r="F241" s="170"/>
    </row>
    <row r="242" spans="1:6" s="2" customFormat="1" ht="16.899999999999999" customHeight="1" x14ac:dyDescent="0.25">
      <c r="A242" s="35"/>
      <c r="B242" s="120"/>
      <c r="C242" s="113" t="s">
        <v>304</v>
      </c>
      <c r="D242" s="113" t="s">
        <v>305</v>
      </c>
      <c r="E242" s="124">
        <f>40000*12</f>
        <v>480000</v>
      </c>
      <c r="F242" s="170"/>
    </row>
    <row r="243" spans="1:6" s="2" customFormat="1" ht="16.899999999999999" customHeight="1" x14ac:dyDescent="0.25">
      <c r="A243" s="35"/>
      <c r="B243" s="120"/>
      <c r="C243" s="113" t="s">
        <v>306</v>
      </c>
      <c r="D243" s="113" t="s">
        <v>307</v>
      </c>
      <c r="E243" s="124">
        <f>30000*6</f>
        <v>180000</v>
      </c>
      <c r="F243" s="170"/>
    </row>
    <row r="244" spans="1:6" ht="16.899999999999999" customHeight="1" x14ac:dyDescent="0.25">
      <c r="A244" s="35"/>
      <c r="B244" s="119"/>
      <c r="C244" s="95" t="s">
        <v>0</v>
      </c>
      <c r="D244" s="35"/>
      <c r="E244" s="35"/>
      <c r="F244" s="50">
        <f>SUM(E240:E243)</f>
        <v>800000</v>
      </c>
    </row>
    <row r="245" spans="1:6" ht="16.899999999999999" customHeight="1" x14ac:dyDescent="0.25">
      <c r="C245" s="77" t="s">
        <v>182</v>
      </c>
      <c r="D245" s="77"/>
      <c r="E245" s="12"/>
      <c r="F245" s="6"/>
    </row>
    <row r="246" spans="1:6" ht="16.899999999999999" customHeight="1" x14ac:dyDescent="0.25">
      <c r="B246" s="118"/>
      <c r="C246" s="197" t="s">
        <v>308</v>
      </c>
      <c r="D246" s="197"/>
      <c r="E246" s="197"/>
      <c r="F246" s="198"/>
    </row>
    <row r="247" spans="1:6" s="2" customFormat="1" ht="16.899999999999999" customHeight="1" x14ac:dyDescent="0.25">
      <c r="A247" s="35"/>
      <c r="B247" s="120"/>
      <c r="C247" s="78" t="s">
        <v>309</v>
      </c>
      <c r="D247" s="113" t="s">
        <v>310</v>
      </c>
      <c r="E247" s="124">
        <f>2500*3*2*3</f>
        <v>45000</v>
      </c>
      <c r="F247" s="166"/>
    </row>
    <row r="248" spans="1:6" s="2" customFormat="1" ht="16.899999999999999" customHeight="1" x14ac:dyDescent="0.25">
      <c r="A248" s="35"/>
      <c r="B248" s="120"/>
      <c r="C248" s="113" t="s">
        <v>311</v>
      </c>
      <c r="D248" s="113" t="s">
        <v>312</v>
      </c>
      <c r="E248" s="124">
        <f>12000*2*2*3</f>
        <v>144000</v>
      </c>
      <c r="F248" s="166"/>
    </row>
    <row r="249" spans="1:6" s="2" customFormat="1" ht="16.899999999999999" customHeight="1" x14ac:dyDescent="0.25">
      <c r="A249" s="35"/>
      <c r="B249" s="120"/>
      <c r="C249" s="113" t="s">
        <v>183</v>
      </c>
      <c r="D249" s="113" t="s">
        <v>313</v>
      </c>
      <c r="E249" s="124">
        <f>70000*3</f>
        <v>210000</v>
      </c>
      <c r="F249" s="170"/>
    </row>
    <row r="250" spans="1:6" ht="16.899999999999999" customHeight="1" x14ac:dyDescent="0.25">
      <c r="A250" s="35"/>
      <c r="B250" s="119"/>
      <c r="C250" s="95" t="s">
        <v>0</v>
      </c>
      <c r="D250" s="35"/>
      <c r="E250" s="35"/>
      <c r="F250" s="50">
        <f>SUM(E247:E249)</f>
        <v>399000</v>
      </c>
    </row>
    <row r="251" spans="1:6" ht="16.899999999999999" customHeight="1" x14ac:dyDescent="0.25">
      <c r="B251" s="118"/>
      <c r="C251" s="18"/>
      <c r="D251" s="19"/>
      <c r="E251" s="20"/>
      <c r="F251" s="21"/>
    </row>
    <row r="252" spans="1:6" ht="16.899999999999999" customHeight="1" x14ac:dyDescent="0.25">
      <c r="C252" s="77" t="s">
        <v>184</v>
      </c>
      <c r="E252" s="79"/>
      <c r="F252" s="84"/>
    </row>
    <row r="253" spans="1:6" ht="39" customHeight="1" x14ac:dyDescent="0.25">
      <c r="B253" s="118"/>
      <c r="C253" s="197" t="s">
        <v>314</v>
      </c>
      <c r="D253" s="197"/>
      <c r="E253" s="197"/>
      <c r="F253" s="197"/>
    </row>
    <row r="254" spans="1:6" s="2" customFormat="1" ht="28.5" customHeight="1" x14ac:dyDescent="0.25">
      <c r="A254" s="35"/>
      <c r="B254" s="120"/>
      <c r="C254" s="113" t="s">
        <v>315</v>
      </c>
      <c r="D254" s="113" t="s">
        <v>316</v>
      </c>
      <c r="E254" s="125">
        <f>2*45000+80000*2</f>
        <v>250000</v>
      </c>
      <c r="F254" s="163"/>
    </row>
    <row r="255" spans="1:6" s="2" customFormat="1" ht="16.899999999999999" customHeight="1" x14ac:dyDescent="0.25">
      <c r="A255" s="35"/>
      <c r="B255" s="120"/>
      <c r="C255" s="113" t="s">
        <v>317</v>
      </c>
      <c r="D255" s="113" t="s">
        <v>318</v>
      </c>
      <c r="E255" s="125">
        <f>10000*3*3</f>
        <v>90000</v>
      </c>
      <c r="F255" s="163"/>
    </row>
    <row r="256" spans="1:6" s="2" customFormat="1" ht="16.899999999999999" customHeight="1" x14ac:dyDescent="0.25">
      <c r="A256" s="35"/>
      <c r="B256" s="120"/>
      <c r="C256" s="113" t="s">
        <v>319</v>
      </c>
      <c r="D256" s="113" t="s">
        <v>320</v>
      </c>
      <c r="E256" s="125">
        <f>80000*3</f>
        <v>240000</v>
      </c>
      <c r="F256" s="167"/>
    </row>
    <row r="257" spans="1:6" s="2" customFormat="1" ht="16.899999999999999" customHeight="1" x14ac:dyDescent="0.25">
      <c r="A257" s="35"/>
      <c r="B257" s="120"/>
      <c r="C257" s="113" t="s">
        <v>321</v>
      </c>
      <c r="D257" s="113" t="s">
        <v>322</v>
      </c>
      <c r="E257" s="125">
        <v>120000</v>
      </c>
      <c r="F257" s="167"/>
    </row>
    <row r="258" spans="1:6" ht="16.899999999999999" customHeight="1" x14ac:dyDescent="0.25">
      <c r="C258" s="16" t="s">
        <v>0</v>
      </c>
      <c r="E258" s="79"/>
      <c r="F258" s="17">
        <f>SUM(E254:E257)</f>
        <v>700000</v>
      </c>
    </row>
    <row r="259" spans="1:6" ht="16.899999999999999" customHeight="1" x14ac:dyDescent="0.25">
      <c r="B259" s="118"/>
      <c r="C259" s="18"/>
      <c r="D259" s="19"/>
      <c r="E259" s="20"/>
      <c r="F259" s="21"/>
    </row>
    <row r="260" spans="1:6" ht="16.899999999999999" customHeight="1" x14ac:dyDescent="0.25">
      <c r="C260" s="77" t="s">
        <v>188</v>
      </c>
      <c r="E260" s="79"/>
      <c r="F260" s="84"/>
    </row>
    <row r="261" spans="1:6" ht="16.899999999999999" customHeight="1" x14ac:dyDescent="0.25">
      <c r="B261" s="118"/>
      <c r="C261" s="197" t="s">
        <v>185</v>
      </c>
      <c r="D261" s="197"/>
      <c r="E261" s="197"/>
      <c r="F261" s="197"/>
    </row>
    <row r="262" spans="1:6" s="2" customFormat="1" ht="16.899999999999999" customHeight="1" x14ac:dyDescent="0.25">
      <c r="A262" s="35"/>
      <c r="B262" s="120"/>
      <c r="C262" s="44" t="s">
        <v>20</v>
      </c>
      <c r="D262" s="27" t="s">
        <v>333</v>
      </c>
      <c r="E262" s="41">
        <v>40000</v>
      </c>
      <c r="F262" s="171"/>
    </row>
    <row r="263" spans="1:6" s="2" customFormat="1" ht="16.899999999999999" customHeight="1" x14ac:dyDescent="0.25">
      <c r="A263" s="35"/>
      <c r="B263" s="120"/>
      <c r="C263" s="44" t="s">
        <v>186</v>
      </c>
      <c r="D263" s="27" t="s">
        <v>334</v>
      </c>
      <c r="E263" s="41">
        <v>30000</v>
      </c>
      <c r="F263" s="171"/>
    </row>
    <row r="264" spans="1:6" s="2" customFormat="1" ht="16.899999999999999" customHeight="1" x14ac:dyDescent="0.25">
      <c r="A264" s="35"/>
      <c r="B264" s="120"/>
      <c r="C264" s="35" t="s">
        <v>323</v>
      </c>
      <c r="D264" s="27" t="s">
        <v>293</v>
      </c>
      <c r="E264" s="41">
        <v>50000</v>
      </c>
      <c r="F264" s="171"/>
    </row>
    <row r="265" spans="1:6" s="2" customFormat="1" ht="16.899999999999999" customHeight="1" x14ac:dyDescent="0.25">
      <c r="A265" s="35"/>
      <c r="B265" s="120"/>
      <c r="C265" s="44" t="s">
        <v>324</v>
      </c>
      <c r="D265" s="27" t="s">
        <v>333</v>
      </c>
      <c r="E265" s="41">
        <v>40000</v>
      </c>
      <c r="F265" s="171"/>
    </row>
    <row r="266" spans="1:6" ht="16.899999999999999" customHeight="1" x14ac:dyDescent="0.25">
      <c r="C266" s="16" t="s">
        <v>0</v>
      </c>
      <c r="E266" s="79"/>
      <c r="F266" s="17">
        <f>SUM(E262:E265)</f>
        <v>160000</v>
      </c>
    </row>
    <row r="267" spans="1:6" ht="16.899999999999999" customHeight="1" x14ac:dyDescent="0.25">
      <c r="B267" s="118"/>
      <c r="C267" s="18"/>
      <c r="D267" s="19"/>
      <c r="E267" s="20"/>
      <c r="F267" s="21"/>
    </row>
    <row r="268" spans="1:6" ht="16.899999999999999" customHeight="1" x14ac:dyDescent="0.25">
      <c r="C268" s="203" t="s">
        <v>325</v>
      </c>
      <c r="D268" s="203"/>
      <c r="E268" s="84"/>
      <c r="F268" s="79"/>
    </row>
    <row r="269" spans="1:6" ht="22.9" customHeight="1" x14ac:dyDescent="0.25">
      <c r="B269" s="118"/>
      <c r="C269" s="195" t="s">
        <v>326</v>
      </c>
      <c r="D269" s="195"/>
      <c r="E269" s="195"/>
      <c r="F269" s="196"/>
    </row>
    <row r="270" spans="1:6" s="2" customFormat="1" ht="16.899999999999999" customHeight="1" x14ac:dyDescent="0.25">
      <c r="A270" s="35"/>
      <c r="B270" s="120"/>
      <c r="C270" s="113" t="s">
        <v>187</v>
      </c>
      <c r="D270" s="113" t="s">
        <v>327</v>
      </c>
      <c r="E270" s="125">
        <v>200000</v>
      </c>
      <c r="F270" s="42"/>
    </row>
    <row r="271" spans="1:6" s="2" customFormat="1" ht="16.899999999999999" customHeight="1" x14ac:dyDescent="0.25">
      <c r="A271" s="35"/>
      <c r="B271" s="120"/>
      <c r="C271" s="113" t="s">
        <v>328</v>
      </c>
      <c r="D271" s="113" t="s">
        <v>329</v>
      </c>
      <c r="E271" s="125">
        <v>60000</v>
      </c>
      <c r="F271" s="167"/>
    </row>
    <row r="272" spans="1:6" s="2" customFormat="1" ht="16.899999999999999" customHeight="1" x14ac:dyDescent="0.25">
      <c r="A272" s="35"/>
      <c r="B272" s="120"/>
      <c r="C272" s="113" t="s">
        <v>330</v>
      </c>
      <c r="D272" s="113" t="s">
        <v>331</v>
      </c>
      <c r="E272" s="125">
        <f>60000*3</f>
        <v>180000</v>
      </c>
      <c r="F272" s="167"/>
    </row>
    <row r="273" spans="1:6" s="2" customFormat="1" ht="16.899999999999999" customHeight="1" x14ac:dyDescent="0.25">
      <c r="A273" s="35"/>
      <c r="B273" s="120"/>
      <c r="C273" s="113" t="s">
        <v>332</v>
      </c>
      <c r="D273" s="113" t="s">
        <v>327</v>
      </c>
      <c r="E273" s="125">
        <v>200000</v>
      </c>
      <c r="F273" s="167"/>
    </row>
    <row r="274" spans="1:6" ht="16.899999999999999" customHeight="1" x14ac:dyDescent="0.25">
      <c r="C274" s="26" t="s">
        <v>0</v>
      </c>
      <c r="D274" s="26"/>
      <c r="E274" s="13"/>
      <c r="F274" s="17">
        <f>SUM(E270:E273)</f>
        <v>640000</v>
      </c>
    </row>
    <row r="275" spans="1:6" ht="16.899999999999999" customHeight="1" x14ac:dyDescent="0.25">
      <c r="B275" s="118"/>
      <c r="C275" s="18"/>
      <c r="D275" s="19"/>
      <c r="E275" s="20"/>
      <c r="F275" s="21"/>
    </row>
    <row r="276" spans="1:6" ht="16.899999999999999" customHeight="1" x14ac:dyDescent="0.25">
      <c r="C276" s="26" t="s">
        <v>205</v>
      </c>
      <c r="D276" s="36"/>
      <c r="E276" s="37"/>
      <c r="F276" s="38">
        <f>F244+F250+F258+F266+F274</f>
        <v>2699000</v>
      </c>
    </row>
    <row r="277" spans="1:6" ht="16.5" customHeight="1" x14ac:dyDescent="0.25">
      <c r="B277" s="49"/>
      <c r="C277" s="47"/>
      <c r="D277" s="55"/>
      <c r="E277" s="53"/>
      <c r="F277" s="48"/>
    </row>
    <row r="278" spans="1:6" s="52" customFormat="1" ht="16.5" customHeight="1" x14ac:dyDescent="0.25">
      <c r="A278" s="6"/>
      <c r="B278" s="119">
        <v>5</v>
      </c>
      <c r="C278" s="190" t="s">
        <v>335</v>
      </c>
      <c r="D278" s="190"/>
      <c r="E278" s="42"/>
      <c r="F278" s="53"/>
    </row>
    <row r="279" spans="1:6" s="52" customFormat="1" x14ac:dyDescent="0.25">
      <c r="A279" s="6"/>
      <c r="B279" s="10"/>
      <c r="C279" s="202"/>
      <c r="D279" s="202"/>
      <c r="E279" s="135"/>
      <c r="F279" s="67"/>
    </row>
    <row r="280" spans="1:6" s="52" customFormat="1" x14ac:dyDescent="0.25">
      <c r="A280" s="6"/>
      <c r="B280" s="8" t="s">
        <v>195</v>
      </c>
      <c r="C280" s="4" t="s">
        <v>372</v>
      </c>
      <c r="D280" s="12"/>
      <c r="E280" s="13"/>
      <c r="F280" s="64"/>
    </row>
    <row r="281" spans="1:6" s="52" customFormat="1" x14ac:dyDescent="0.25">
      <c r="A281" s="6"/>
      <c r="B281" s="8"/>
      <c r="C281" s="6" t="s">
        <v>371</v>
      </c>
      <c r="D281" s="12"/>
      <c r="E281" s="13"/>
      <c r="F281" s="64"/>
    </row>
    <row r="282" spans="1:6" s="2" customFormat="1" x14ac:dyDescent="0.25">
      <c r="A282" s="35"/>
      <c r="B282" s="120"/>
      <c r="C282" s="35" t="s">
        <v>98</v>
      </c>
      <c r="D282" s="43" t="s">
        <v>226</v>
      </c>
      <c r="E282" s="41">
        <f>700*120</f>
        <v>84000</v>
      </c>
      <c r="F282" s="53"/>
    </row>
    <row r="283" spans="1:6" s="2" customFormat="1" x14ac:dyDescent="0.25">
      <c r="A283" s="35"/>
      <c r="B283" s="120"/>
      <c r="C283" s="35" t="s">
        <v>99</v>
      </c>
      <c r="D283" s="43" t="s">
        <v>153</v>
      </c>
      <c r="E283" s="41">
        <f>2000*120</f>
        <v>240000</v>
      </c>
      <c r="F283" s="53"/>
    </row>
    <row r="284" spans="1:6" s="2" customFormat="1" x14ac:dyDescent="0.25">
      <c r="A284" s="35"/>
      <c r="B284" s="120"/>
      <c r="C284" s="35" t="s">
        <v>26</v>
      </c>
      <c r="D284" s="43" t="s">
        <v>227</v>
      </c>
      <c r="E284" s="41">
        <f>300*120</f>
        <v>36000</v>
      </c>
      <c r="F284" s="53"/>
    </row>
    <row r="285" spans="1:6" s="2" customFormat="1" ht="16.5" customHeight="1" x14ac:dyDescent="0.25">
      <c r="A285" s="35"/>
      <c r="B285" s="120"/>
      <c r="C285" s="35" t="s">
        <v>21</v>
      </c>
      <c r="D285" s="43" t="s">
        <v>149</v>
      </c>
      <c r="E285" s="41">
        <v>120000</v>
      </c>
      <c r="F285" s="53"/>
    </row>
    <row r="286" spans="1:6" s="2" customFormat="1" x14ac:dyDescent="0.25">
      <c r="A286" s="35"/>
      <c r="B286" s="119"/>
      <c r="C286" s="57" t="s">
        <v>0</v>
      </c>
      <c r="D286" s="57"/>
      <c r="E286" s="50"/>
      <c r="F286" s="50">
        <f>SUM(E282:E285)</f>
        <v>480000</v>
      </c>
    </row>
    <row r="287" spans="1:6" s="2" customFormat="1" x14ac:dyDescent="0.25">
      <c r="A287" s="35"/>
      <c r="B287" s="119"/>
      <c r="C287" s="47"/>
      <c r="D287" s="55"/>
      <c r="E287" s="53"/>
      <c r="F287" s="48"/>
    </row>
    <row r="288" spans="1:6" s="2" customFormat="1" x14ac:dyDescent="0.25">
      <c r="A288" s="35"/>
      <c r="B288" s="119" t="s">
        <v>196</v>
      </c>
      <c r="C288" s="136" t="s">
        <v>375</v>
      </c>
      <c r="D288" s="43"/>
      <c r="E288" s="41"/>
      <c r="F288" s="53"/>
    </row>
    <row r="289" spans="1:6" s="2" customFormat="1" x14ac:dyDescent="0.25">
      <c r="A289" s="35"/>
      <c r="B289" s="119"/>
      <c r="C289" s="35" t="s">
        <v>373</v>
      </c>
      <c r="D289" s="43"/>
      <c r="E289" s="41"/>
      <c r="F289" s="53"/>
    </row>
    <row r="290" spans="1:6" s="2" customFormat="1" x14ac:dyDescent="0.25">
      <c r="A290" s="35"/>
      <c r="B290" s="120"/>
      <c r="C290" s="35" t="s">
        <v>100</v>
      </c>
      <c r="D290" s="27" t="s">
        <v>374</v>
      </c>
      <c r="E290" s="41">
        <f>3200*120</f>
        <v>384000</v>
      </c>
      <c r="F290" s="53"/>
    </row>
    <row r="291" spans="1:6" s="2" customFormat="1" x14ac:dyDescent="0.25">
      <c r="A291" s="35"/>
      <c r="B291" s="137"/>
      <c r="C291" s="35" t="s">
        <v>20</v>
      </c>
      <c r="D291" s="43" t="s">
        <v>171</v>
      </c>
      <c r="E291" s="41">
        <f>1500*120</f>
        <v>180000</v>
      </c>
      <c r="F291" s="53"/>
    </row>
    <row r="292" spans="1:6" s="2" customFormat="1" x14ac:dyDescent="0.25">
      <c r="A292" s="35"/>
      <c r="B292" s="120"/>
      <c r="C292" s="35" t="s">
        <v>27</v>
      </c>
      <c r="D292" s="43" t="s">
        <v>212</v>
      </c>
      <c r="E292" s="41">
        <f>800*120</f>
        <v>96000</v>
      </c>
      <c r="F292" s="53"/>
    </row>
    <row r="293" spans="1:6" s="2" customFormat="1" x14ac:dyDescent="0.25">
      <c r="A293" s="35"/>
      <c r="B293" s="120"/>
      <c r="C293" s="35" t="s">
        <v>99</v>
      </c>
      <c r="D293" s="27" t="s">
        <v>171</v>
      </c>
      <c r="E293" s="41">
        <f>1500*120</f>
        <v>180000</v>
      </c>
      <c r="F293" s="53"/>
    </row>
    <row r="294" spans="1:6" s="2" customFormat="1" x14ac:dyDescent="0.25">
      <c r="A294" s="35"/>
      <c r="B294" s="120"/>
      <c r="C294" s="35" t="s">
        <v>207</v>
      </c>
      <c r="D294" s="27" t="s">
        <v>376</v>
      </c>
      <c r="E294" s="41">
        <f>400*120</f>
        <v>48000</v>
      </c>
      <c r="F294" s="53"/>
    </row>
    <row r="295" spans="1:6" s="2" customFormat="1" x14ac:dyDescent="0.25">
      <c r="A295" s="35"/>
      <c r="B295" s="120"/>
      <c r="C295" s="35" t="s">
        <v>21</v>
      </c>
      <c r="D295" s="27" t="s">
        <v>149</v>
      </c>
      <c r="E295" s="41">
        <f>3500*120</f>
        <v>420000</v>
      </c>
      <c r="F295" s="53"/>
    </row>
    <row r="296" spans="1:6" s="2" customFormat="1" x14ac:dyDescent="0.25">
      <c r="A296" s="35"/>
      <c r="B296" s="119"/>
      <c r="C296" s="57" t="s">
        <v>0</v>
      </c>
      <c r="D296" s="57"/>
      <c r="E296" s="50"/>
      <c r="F296" s="50">
        <v>492200</v>
      </c>
    </row>
    <row r="297" spans="1:6" s="2" customFormat="1" x14ac:dyDescent="0.25">
      <c r="A297" s="35"/>
      <c r="B297" s="119"/>
      <c r="C297" s="47"/>
      <c r="D297" s="55"/>
      <c r="E297" s="53"/>
      <c r="F297" s="48"/>
    </row>
    <row r="298" spans="1:6" s="2" customFormat="1" x14ac:dyDescent="0.25">
      <c r="A298" s="35"/>
      <c r="B298" s="119" t="s">
        <v>197</v>
      </c>
      <c r="C298" s="138" t="s">
        <v>377</v>
      </c>
      <c r="D298" s="43"/>
      <c r="E298" s="41"/>
      <c r="F298" s="53"/>
    </row>
    <row r="299" spans="1:6" s="2" customFormat="1" x14ac:dyDescent="0.25">
      <c r="A299" s="35"/>
      <c r="B299" s="119"/>
      <c r="C299" s="43" t="s">
        <v>373</v>
      </c>
      <c r="D299" s="43"/>
      <c r="E299" s="41"/>
      <c r="F299" s="53"/>
    </row>
    <row r="300" spans="1:6" s="2" customFormat="1" x14ac:dyDescent="0.25">
      <c r="A300" s="35"/>
      <c r="B300" s="120"/>
      <c r="C300" s="35" t="s">
        <v>100</v>
      </c>
      <c r="D300" s="43" t="s">
        <v>153</v>
      </c>
      <c r="E300" s="41">
        <f>2000*120</f>
        <v>240000</v>
      </c>
      <c r="F300" s="53"/>
    </row>
    <row r="301" spans="1:6" s="2" customFormat="1" x14ac:dyDescent="0.25">
      <c r="A301" s="35"/>
      <c r="B301" s="120"/>
      <c r="C301" s="35" t="s">
        <v>125</v>
      </c>
      <c r="D301" s="27" t="s">
        <v>226</v>
      </c>
      <c r="E301" s="41">
        <f>700*120</f>
        <v>84000</v>
      </c>
      <c r="F301" s="53"/>
    </row>
    <row r="302" spans="1:6" s="2" customFormat="1" x14ac:dyDescent="0.25">
      <c r="A302" s="35"/>
      <c r="B302" s="120"/>
      <c r="C302" s="35" t="s">
        <v>126</v>
      </c>
      <c r="D302" s="27" t="s">
        <v>153</v>
      </c>
      <c r="E302" s="41">
        <f>2000*120</f>
        <v>240000</v>
      </c>
      <c r="F302" s="53"/>
    </row>
    <row r="303" spans="1:6" s="2" customFormat="1" x14ac:dyDescent="0.25">
      <c r="A303" s="35"/>
      <c r="B303" s="120"/>
      <c r="C303" s="35" t="s">
        <v>378</v>
      </c>
      <c r="D303" s="27" t="s">
        <v>225</v>
      </c>
      <c r="E303" s="41">
        <f>600*120</f>
        <v>72000</v>
      </c>
      <c r="F303" s="53"/>
    </row>
    <row r="304" spans="1:6" s="2" customFormat="1" x14ac:dyDescent="0.25">
      <c r="A304" s="35"/>
      <c r="B304" s="120"/>
      <c r="C304" s="35" t="s">
        <v>26</v>
      </c>
      <c r="D304" s="27" t="s">
        <v>376</v>
      </c>
      <c r="E304" s="41">
        <f>400*120</f>
        <v>48000</v>
      </c>
      <c r="F304" s="53"/>
    </row>
    <row r="305" spans="1:6" s="2" customFormat="1" x14ac:dyDescent="0.25">
      <c r="A305" s="35"/>
      <c r="B305" s="120"/>
      <c r="C305" s="35" t="s">
        <v>21</v>
      </c>
      <c r="D305" s="27" t="s">
        <v>152</v>
      </c>
      <c r="E305" s="41">
        <f>3000*120</f>
        <v>360000</v>
      </c>
      <c r="F305" s="53"/>
    </row>
    <row r="306" spans="1:6" s="2" customFormat="1" x14ac:dyDescent="0.25">
      <c r="A306" s="35"/>
      <c r="B306" s="119"/>
      <c r="C306" s="57" t="s">
        <v>0</v>
      </c>
      <c r="D306" s="57"/>
      <c r="E306" s="50"/>
      <c r="F306" s="50">
        <v>744000</v>
      </c>
    </row>
    <row r="307" spans="1:6" s="2" customFormat="1" x14ac:dyDescent="0.25">
      <c r="A307" s="35"/>
      <c r="B307" s="119"/>
      <c r="C307" s="57"/>
      <c r="D307" s="57"/>
      <c r="E307" s="50"/>
      <c r="F307" s="50"/>
    </row>
    <row r="308" spans="1:6" s="2" customFormat="1" x14ac:dyDescent="0.25">
      <c r="A308" s="35"/>
      <c r="B308" s="119" t="s">
        <v>198</v>
      </c>
      <c r="C308" s="139" t="s">
        <v>379</v>
      </c>
      <c r="D308" s="57"/>
      <c r="E308" s="50"/>
      <c r="F308" s="50"/>
    </row>
    <row r="309" spans="1:6" s="2" customFormat="1" x14ac:dyDescent="0.25">
      <c r="A309" s="35"/>
      <c r="B309" s="119"/>
      <c r="C309" s="43" t="s">
        <v>210</v>
      </c>
      <c r="D309" s="43"/>
      <c r="E309" s="41"/>
      <c r="F309" s="53"/>
    </row>
    <row r="310" spans="1:6" s="2" customFormat="1" x14ac:dyDescent="0.25">
      <c r="A310" s="35"/>
      <c r="B310" s="120"/>
      <c r="C310" s="35" t="s">
        <v>100</v>
      </c>
      <c r="D310" s="43" t="s">
        <v>152</v>
      </c>
      <c r="E310" s="41">
        <f>3000*120</f>
        <v>360000</v>
      </c>
      <c r="F310" s="53"/>
    </row>
    <row r="311" spans="1:6" s="2" customFormat="1" x14ac:dyDescent="0.25">
      <c r="A311" s="35"/>
      <c r="B311" s="120"/>
      <c r="C311" s="35" t="s">
        <v>125</v>
      </c>
      <c r="D311" s="27" t="s">
        <v>151</v>
      </c>
      <c r="E311" s="41">
        <f>800*120</f>
        <v>96000</v>
      </c>
      <c r="F311" s="53"/>
    </row>
    <row r="312" spans="1:6" s="2" customFormat="1" x14ac:dyDescent="0.25">
      <c r="A312" s="35"/>
      <c r="B312" s="120"/>
      <c r="C312" s="35" t="s">
        <v>126</v>
      </c>
      <c r="D312" s="27" t="s">
        <v>152</v>
      </c>
      <c r="E312" s="41">
        <f>3000*120</f>
        <v>360000</v>
      </c>
      <c r="F312" s="53"/>
    </row>
    <row r="313" spans="1:6" s="2" customFormat="1" x14ac:dyDescent="0.25">
      <c r="A313" s="35"/>
      <c r="B313" s="120"/>
      <c r="C313" s="35" t="s">
        <v>380</v>
      </c>
      <c r="D313" s="27" t="s">
        <v>146</v>
      </c>
      <c r="E313" s="41">
        <f>500*120</f>
        <v>60000</v>
      </c>
      <c r="F313" s="53"/>
    </row>
    <row r="314" spans="1:6" s="2" customFormat="1" x14ac:dyDescent="0.25">
      <c r="A314" s="35"/>
      <c r="B314" s="120"/>
      <c r="C314" s="35" t="s">
        <v>21</v>
      </c>
      <c r="D314" s="27" t="s">
        <v>152</v>
      </c>
      <c r="E314" s="41">
        <f>3000*120</f>
        <v>360000</v>
      </c>
      <c r="F314" s="53"/>
    </row>
    <row r="315" spans="1:6" s="2" customFormat="1" x14ac:dyDescent="0.25">
      <c r="A315" s="35"/>
      <c r="B315" s="119"/>
      <c r="C315" s="57" t="s">
        <v>0</v>
      </c>
      <c r="D315" s="57"/>
      <c r="E315" s="50"/>
      <c r="F315" s="50">
        <f>SUM(E310:E314)</f>
        <v>1236000</v>
      </c>
    </row>
    <row r="316" spans="1:6" s="2" customFormat="1" x14ac:dyDescent="0.25">
      <c r="A316" s="35"/>
      <c r="B316" s="119"/>
      <c r="C316" s="57"/>
      <c r="D316" s="57"/>
      <c r="E316" s="50"/>
      <c r="F316" s="50"/>
    </row>
    <row r="317" spans="1:6" s="2" customFormat="1" x14ac:dyDescent="0.25">
      <c r="A317" s="35"/>
      <c r="B317" s="119" t="s">
        <v>216</v>
      </c>
      <c r="C317" s="139" t="s">
        <v>381</v>
      </c>
      <c r="D317" s="57"/>
      <c r="E317" s="50"/>
      <c r="F317" s="50"/>
    </row>
    <row r="318" spans="1:6" s="2" customFormat="1" x14ac:dyDescent="0.25">
      <c r="A318" s="35"/>
      <c r="B318" s="119"/>
      <c r="C318" s="43" t="s">
        <v>373</v>
      </c>
      <c r="D318" s="43"/>
      <c r="E318" s="41"/>
      <c r="F318" s="53"/>
    </row>
    <row r="319" spans="1:6" s="2" customFormat="1" x14ac:dyDescent="0.25">
      <c r="A319" s="35"/>
      <c r="B319" s="120"/>
      <c r="C319" s="35" t="s">
        <v>100</v>
      </c>
      <c r="D319" s="43" t="s">
        <v>153</v>
      </c>
      <c r="E319" s="41">
        <f>2000*120</f>
        <v>240000</v>
      </c>
      <c r="F319" s="53"/>
    </row>
    <row r="320" spans="1:6" s="2" customFormat="1" x14ac:dyDescent="0.25">
      <c r="A320" s="35"/>
      <c r="B320" s="120"/>
      <c r="C320" s="35" t="s">
        <v>125</v>
      </c>
      <c r="D320" s="27" t="s">
        <v>226</v>
      </c>
      <c r="E320" s="41">
        <f>700*120</f>
        <v>84000</v>
      </c>
      <c r="F320" s="53"/>
    </row>
    <row r="321" spans="1:6" s="2" customFormat="1" x14ac:dyDescent="0.25">
      <c r="A321" s="35"/>
      <c r="B321" s="120"/>
      <c r="C321" s="35" t="s">
        <v>126</v>
      </c>
      <c r="D321" s="27" t="s">
        <v>153</v>
      </c>
      <c r="E321" s="41">
        <f>2000*120</f>
        <v>240000</v>
      </c>
      <c r="F321" s="53"/>
    </row>
    <row r="322" spans="1:6" s="2" customFormat="1" x14ac:dyDescent="0.25">
      <c r="A322" s="35"/>
      <c r="B322" s="120"/>
      <c r="C322" s="35" t="s">
        <v>380</v>
      </c>
      <c r="D322" s="27" t="s">
        <v>225</v>
      </c>
      <c r="E322" s="41">
        <f>600*120</f>
        <v>72000</v>
      </c>
      <c r="F322" s="53"/>
    </row>
    <row r="323" spans="1:6" s="2" customFormat="1" x14ac:dyDescent="0.25">
      <c r="A323" s="35"/>
      <c r="B323" s="120"/>
      <c r="C323" s="35" t="s">
        <v>26</v>
      </c>
      <c r="D323" s="27" t="s">
        <v>146</v>
      </c>
      <c r="E323" s="41">
        <f>500*120</f>
        <v>60000</v>
      </c>
      <c r="F323" s="53"/>
    </row>
    <row r="324" spans="1:6" s="2" customFormat="1" x14ac:dyDescent="0.25">
      <c r="A324" s="35"/>
      <c r="B324" s="120"/>
      <c r="C324" s="35" t="s">
        <v>21</v>
      </c>
      <c r="D324" s="27" t="s">
        <v>152</v>
      </c>
      <c r="E324" s="41">
        <f>3000*120</f>
        <v>360000</v>
      </c>
      <c r="F324" s="53"/>
    </row>
    <row r="325" spans="1:6" s="2" customFormat="1" x14ac:dyDescent="0.25">
      <c r="A325" s="35"/>
      <c r="B325" s="119"/>
      <c r="C325" s="57" t="s">
        <v>0</v>
      </c>
      <c r="D325" s="57"/>
      <c r="E325" s="50"/>
      <c r="F325" s="50">
        <v>812000</v>
      </c>
    </row>
    <row r="326" spans="1:6" s="2" customFormat="1" x14ac:dyDescent="0.25">
      <c r="A326" s="35"/>
      <c r="B326" s="119"/>
      <c r="C326" s="140"/>
      <c r="D326" s="57"/>
      <c r="E326" s="50"/>
      <c r="F326" s="50"/>
    </row>
    <row r="327" spans="1:6" s="2" customFormat="1" ht="31.5" x14ac:dyDescent="0.25">
      <c r="A327" s="35"/>
      <c r="B327" s="119" t="s">
        <v>217</v>
      </c>
      <c r="C327" s="139" t="s">
        <v>387</v>
      </c>
      <c r="D327" s="57"/>
      <c r="E327" s="50"/>
      <c r="F327" s="50"/>
    </row>
    <row r="328" spans="1:6" s="2" customFormat="1" x14ac:dyDescent="0.25">
      <c r="A328" s="35"/>
      <c r="B328" s="119"/>
      <c r="C328" s="43" t="s">
        <v>172</v>
      </c>
      <c r="D328" s="43"/>
      <c r="E328" s="41"/>
      <c r="F328" s="53"/>
    </row>
    <row r="329" spans="1:6" s="2" customFormat="1" x14ac:dyDescent="0.25">
      <c r="A329" s="35"/>
      <c r="B329" s="120"/>
      <c r="C329" s="35" t="s">
        <v>86</v>
      </c>
      <c r="D329" s="43" t="s">
        <v>153</v>
      </c>
      <c r="E329" s="41">
        <f>2000*120</f>
        <v>240000</v>
      </c>
      <c r="F329" s="53"/>
    </row>
    <row r="330" spans="1:6" s="2" customFormat="1" x14ac:dyDescent="0.25">
      <c r="A330" s="35"/>
      <c r="B330" s="137"/>
      <c r="C330" s="35" t="s">
        <v>20</v>
      </c>
      <c r="D330" s="43" t="s">
        <v>170</v>
      </c>
      <c r="E330" s="41">
        <f>4000*120</f>
        <v>480000</v>
      </c>
      <c r="F330" s="53"/>
    </row>
    <row r="331" spans="1:6" s="2" customFormat="1" x14ac:dyDescent="0.25">
      <c r="A331" s="35"/>
      <c r="B331" s="120"/>
      <c r="C331" s="35" t="s">
        <v>125</v>
      </c>
      <c r="D331" s="27" t="s">
        <v>155</v>
      </c>
      <c r="E331" s="41">
        <f>1200*120</f>
        <v>144000</v>
      </c>
      <c r="F331" s="53"/>
    </row>
    <row r="332" spans="1:6" s="2" customFormat="1" x14ac:dyDescent="0.25">
      <c r="A332" s="35"/>
      <c r="B332" s="120"/>
      <c r="C332" s="35" t="s">
        <v>126</v>
      </c>
      <c r="D332" s="27" t="s">
        <v>150</v>
      </c>
      <c r="E332" s="41">
        <f>2500*120</f>
        <v>300000</v>
      </c>
      <c r="F332" s="53"/>
    </row>
    <row r="333" spans="1:6" s="2" customFormat="1" x14ac:dyDescent="0.25">
      <c r="A333" s="35"/>
      <c r="B333" s="120"/>
      <c r="C333" s="35" t="s">
        <v>380</v>
      </c>
      <c r="D333" s="27" t="s">
        <v>154</v>
      </c>
      <c r="E333" s="41">
        <f>1000*120</f>
        <v>120000</v>
      </c>
      <c r="F333" s="53"/>
    </row>
    <row r="334" spans="1:6" s="2" customFormat="1" x14ac:dyDescent="0.25">
      <c r="A334" s="35"/>
      <c r="B334" s="120"/>
      <c r="C334" s="35" t="s">
        <v>26</v>
      </c>
      <c r="D334" s="27" t="s">
        <v>146</v>
      </c>
      <c r="E334" s="41">
        <f>500*120</f>
        <v>60000</v>
      </c>
      <c r="F334" s="53"/>
    </row>
    <row r="335" spans="1:6" s="2" customFormat="1" x14ac:dyDescent="0.25">
      <c r="A335" s="35"/>
      <c r="B335" s="120"/>
      <c r="C335" s="35" t="s">
        <v>21</v>
      </c>
      <c r="D335" s="27" t="s">
        <v>170</v>
      </c>
      <c r="E335" s="41">
        <f>4000*120</f>
        <v>480000</v>
      </c>
      <c r="F335" s="53"/>
    </row>
    <row r="336" spans="1:6" s="2" customFormat="1" x14ac:dyDescent="0.25">
      <c r="A336" s="35"/>
      <c r="B336" s="119"/>
      <c r="C336" s="57" t="s">
        <v>0</v>
      </c>
      <c r="D336" s="57"/>
      <c r="E336" s="50"/>
      <c r="F336" s="50">
        <v>0</v>
      </c>
    </row>
    <row r="337" spans="1:6" s="2" customFormat="1" x14ac:dyDescent="0.25">
      <c r="A337" s="35"/>
      <c r="B337" s="119"/>
      <c r="C337" s="140"/>
      <c r="D337" s="57"/>
      <c r="E337" s="50"/>
      <c r="F337" s="50"/>
    </row>
    <row r="338" spans="1:6" s="2" customFormat="1" x14ac:dyDescent="0.25">
      <c r="A338" s="35"/>
      <c r="B338" s="122" t="s">
        <v>199</v>
      </c>
      <c r="C338" s="138" t="s">
        <v>382</v>
      </c>
      <c r="D338" s="43"/>
      <c r="E338" s="41"/>
      <c r="F338" s="53"/>
    </row>
    <row r="339" spans="1:6" s="2" customFormat="1" x14ac:dyDescent="0.25">
      <c r="A339" s="35"/>
      <c r="B339" s="122"/>
      <c r="C339" s="35" t="s">
        <v>383</v>
      </c>
      <c r="D339" s="43"/>
      <c r="E339" s="41"/>
      <c r="F339" s="53"/>
    </row>
    <row r="340" spans="1:6" s="2" customFormat="1" x14ac:dyDescent="0.25">
      <c r="A340" s="35"/>
      <c r="B340" s="137"/>
      <c r="C340" s="35" t="s">
        <v>100</v>
      </c>
      <c r="D340" s="43" t="s">
        <v>153</v>
      </c>
      <c r="E340" s="41">
        <f>2000*120</f>
        <v>240000</v>
      </c>
      <c r="F340" s="53"/>
    </row>
    <row r="341" spans="1:6" s="2" customFormat="1" x14ac:dyDescent="0.25">
      <c r="A341" s="35"/>
      <c r="B341" s="137"/>
      <c r="C341" s="35" t="s">
        <v>98</v>
      </c>
      <c r="D341" s="43" t="s">
        <v>226</v>
      </c>
      <c r="E341" s="41">
        <f>700*120</f>
        <v>84000</v>
      </c>
      <c r="F341" s="53"/>
    </row>
    <row r="342" spans="1:6" s="2" customFormat="1" x14ac:dyDescent="0.25">
      <c r="A342" s="35"/>
      <c r="B342" s="137"/>
      <c r="C342" s="35" t="s">
        <v>99</v>
      </c>
      <c r="D342" s="43" t="s">
        <v>150</v>
      </c>
      <c r="E342" s="41">
        <f>2500*120</f>
        <v>300000</v>
      </c>
      <c r="F342" s="53"/>
    </row>
    <row r="343" spans="1:6" s="2" customFormat="1" x14ac:dyDescent="0.25">
      <c r="A343" s="35"/>
      <c r="B343" s="120"/>
      <c r="C343" s="35" t="s">
        <v>380</v>
      </c>
      <c r="D343" s="27" t="s">
        <v>151</v>
      </c>
      <c r="E343" s="41">
        <f>800*120</f>
        <v>96000</v>
      </c>
      <c r="F343" s="53"/>
    </row>
    <row r="344" spans="1:6" s="2" customFormat="1" x14ac:dyDescent="0.25">
      <c r="A344" s="35"/>
      <c r="B344" s="120"/>
      <c r="C344" s="35" t="s">
        <v>26</v>
      </c>
      <c r="D344" s="27" t="s">
        <v>226</v>
      </c>
      <c r="E344" s="41">
        <f>700*120</f>
        <v>84000</v>
      </c>
      <c r="F344" s="53"/>
    </row>
    <row r="345" spans="1:6" s="2" customFormat="1" ht="16.5" customHeight="1" x14ac:dyDescent="0.25">
      <c r="A345" s="35"/>
      <c r="B345" s="137"/>
      <c r="C345" s="35" t="s">
        <v>21</v>
      </c>
      <c r="D345" s="43" t="s">
        <v>384</v>
      </c>
      <c r="E345" s="41">
        <f>3300*120</f>
        <v>396000</v>
      </c>
      <c r="F345" s="53"/>
    </row>
    <row r="346" spans="1:6" s="2" customFormat="1" x14ac:dyDescent="0.25">
      <c r="A346" s="35"/>
      <c r="B346" s="122"/>
      <c r="C346" s="57" t="s">
        <v>0</v>
      </c>
      <c r="D346" s="57"/>
      <c r="E346" s="50"/>
      <c r="F346" s="50">
        <v>1000000</v>
      </c>
    </row>
    <row r="347" spans="1:6" s="2" customFormat="1" x14ac:dyDescent="0.25">
      <c r="A347" s="138"/>
      <c r="B347" s="119"/>
      <c r="C347" s="57"/>
      <c r="D347" s="57"/>
      <c r="E347" s="50"/>
      <c r="F347" s="50"/>
    </row>
    <row r="348" spans="1:6" s="2" customFormat="1" x14ac:dyDescent="0.25">
      <c r="A348" s="138"/>
      <c r="B348" s="119" t="s">
        <v>230</v>
      </c>
      <c r="C348" s="139" t="s">
        <v>174</v>
      </c>
      <c r="D348" s="57"/>
      <c r="E348" s="41"/>
      <c r="F348" s="50"/>
    </row>
    <row r="349" spans="1:6" s="2" customFormat="1" ht="22.15" customHeight="1" x14ac:dyDescent="0.25">
      <c r="A349" s="35"/>
      <c r="B349" s="120"/>
      <c r="C349" s="140" t="s">
        <v>173</v>
      </c>
      <c r="D349" s="140"/>
      <c r="E349" s="41">
        <f>8500*120</f>
        <v>1020000</v>
      </c>
      <c r="F349" s="41"/>
    </row>
    <row r="350" spans="1:6" s="2" customFormat="1" x14ac:dyDescent="0.25">
      <c r="A350" s="35"/>
      <c r="B350" s="119"/>
      <c r="C350" s="57" t="s">
        <v>0</v>
      </c>
      <c r="D350" s="57"/>
      <c r="E350" s="50"/>
      <c r="F350" s="50">
        <v>320000</v>
      </c>
    </row>
    <row r="351" spans="1:6" s="2" customFormat="1" x14ac:dyDescent="0.25">
      <c r="A351" s="35"/>
      <c r="B351" s="119"/>
      <c r="C351" s="57"/>
      <c r="D351" s="57"/>
      <c r="E351" s="50"/>
      <c r="F351" s="50"/>
    </row>
    <row r="352" spans="1:6" s="2" customFormat="1" x14ac:dyDescent="0.25">
      <c r="A352" s="35"/>
      <c r="B352" s="119" t="s">
        <v>218</v>
      </c>
      <c r="C352" s="138" t="s">
        <v>337</v>
      </c>
      <c r="D352" s="43"/>
      <c r="E352" s="41"/>
      <c r="F352" s="53"/>
    </row>
    <row r="353" spans="1:6" s="2" customFormat="1" x14ac:dyDescent="0.25">
      <c r="A353" s="35"/>
      <c r="B353" s="120"/>
      <c r="C353" s="35" t="s">
        <v>29</v>
      </c>
      <c r="D353" s="43" t="s">
        <v>150</v>
      </c>
      <c r="E353" s="41">
        <f>2500*120</f>
        <v>300000</v>
      </c>
      <c r="F353" s="53"/>
    </row>
    <row r="354" spans="1:6" s="2" customFormat="1" x14ac:dyDescent="0.25">
      <c r="A354" s="35"/>
      <c r="B354" s="120"/>
      <c r="C354" s="35" t="s">
        <v>28</v>
      </c>
      <c r="D354" s="43" t="s">
        <v>225</v>
      </c>
      <c r="E354" s="41">
        <f>600*120</f>
        <v>72000</v>
      </c>
      <c r="F354" s="53"/>
    </row>
    <row r="355" spans="1:6" s="2" customFormat="1" x14ac:dyDescent="0.25">
      <c r="A355" s="35"/>
      <c r="B355" s="137"/>
      <c r="C355" s="35" t="s">
        <v>209</v>
      </c>
      <c r="D355" s="43" t="s">
        <v>385</v>
      </c>
      <c r="E355" s="41">
        <f>1600*120</f>
        <v>192000</v>
      </c>
      <c r="F355" s="53"/>
    </row>
    <row r="356" spans="1:6" s="2" customFormat="1" ht="19.899999999999999" customHeight="1" x14ac:dyDescent="0.25">
      <c r="A356" s="35"/>
      <c r="B356" s="120"/>
      <c r="C356" s="27" t="s">
        <v>62</v>
      </c>
      <c r="D356" s="27" t="s">
        <v>146</v>
      </c>
      <c r="E356" s="41">
        <f>500*120</f>
        <v>60000</v>
      </c>
      <c r="F356" s="42"/>
    </row>
    <row r="357" spans="1:6" x14ac:dyDescent="0.25">
      <c r="C357" s="26" t="s">
        <v>0</v>
      </c>
      <c r="E357" s="13"/>
      <c r="F357" s="17">
        <v>314733.83</v>
      </c>
    </row>
    <row r="358" spans="1:6" x14ac:dyDescent="0.25">
      <c r="C358" s="26"/>
      <c r="E358" s="13"/>
      <c r="F358" s="17"/>
    </row>
    <row r="359" spans="1:6" x14ac:dyDescent="0.25">
      <c r="B359" s="178" t="s">
        <v>395</v>
      </c>
      <c r="C359" s="179" t="s">
        <v>396</v>
      </c>
      <c r="E359" s="13"/>
      <c r="F359" s="17"/>
    </row>
    <row r="360" spans="1:6" x14ac:dyDescent="0.25">
      <c r="C360" s="26"/>
      <c r="E360" s="13"/>
      <c r="F360" s="17"/>
    </row>
    <row r="361" spans="1:6" x14ac:dyDescent="0.25">
      <c r="C361" s="180" t="s">
        <v>398</v>
      </c>
      <c r="D361" s="181">
        <v>500000</v>
      </c>
      <c r="E361" s="13"/>
      <c r="F361" s="17"/>
    </row>
    <row r="362" spans="1:6" x14ac:dyDescent="0.25">
      <c r="C362" s="26" t="s">
        <v>0</v>
      </c>
      <c r="E362" s="13"/>
      <c r="F362" s="17">
        <v>500000</v>
      </c>
    </row>
    <row r="363" spans="1:6" x14ac:dyDescent="0.25">
      <c r="C363" s="26"/>
      <c r="E363" s="13"/>
      <c r="F363" s="17"/>
    </row>
    <row r="364" spans="1:6" x14ac:dyDescent="0.25">
      <c r="B364" s="178" t="s">
        <v>397</v>
      </c>
      <c r="C364" s="179" t="s">
        <v>399</v>
      </c>
      <c r="E364" s="13"/>
      <c r="F364" s="17"/>
    </row>
    <row r="365" spans="1:6" x14ac:dyDescent="0.25">
      <c r="C365" s="1"/>
      <c r="E365" s="13"/>
      <c r="F365" s="17"/>
    </row>
    <row r="366" spans="1:6" x14ac:dyDescent="0.25">
      <c r="C366" s="180" t="s">
        <v>400</v>
      </c>
      <c r="D366" s="14">
        <v>1000000</v>
      </c>
      <c r="E366" s="13"/>
      <c r="F366" s="17"/>
    </row>
    <row r="367" spans="1:6" x14ac:dyDescent="0.25">
      <c r="C367" s="26" t="s">
        <v>0</v>
      </c>
      <c r="E367" s="13"/>
      <c r="F367" s="17">
        <v>0</v>
      </c>
    </row>
    <row r="368" spans="1:6" s="52" customFormat="1" x14ac:dyDescent="0.25">
      <c r="A368" s="6"/>
      <c r="B368" s="10"/>
      <c r="C368" s="188"/>
      <c r="D368" s="188"/>
      <c r="E368" s="188"/>
      <c r="F368" s="188"/>
    </row>
    <row r="369" spans="1:6" s="52" customFormat="1" x14ac:dyDescent="0.25">
      <c r="A369" s="6"/>
      <c r="B369" s="8"/>
      <c r="C369" s="6"/>
      <c r="D369" s="22" t="s">
        <v>30</v>
      </c>
      <c r="E369" s="69"/>
      <c r="F369" s="70">
        <f>+F286+F296+F306+F315+F325+F336+F346+F350+F357+F362+F367</f>
        <v>5898933.8300000001</v>
      </c>
    </row>
    <row r="370" spans="1:6" s="52" customFormat="1" ht="18" customHeight="1" x14ac:dyDescent="0.25">
      <c r="A370" s="6"/>
      <c r="B370" s="8"/>
      <c r="C370" s="6"/>
      <c r="D370" s="23" t="s">
        <v>85</v>
      </c>
      <c r="E370" s="72"/>
      <c r="F370" s="72">
        <f>F35+F168+F235+F369+F276</f>
        <v>928440000</v>
      </c>
    </row>
    <row r="371" spans="1:6" s="52" customFormat="1" ht="15.4" customHeight="1" x14ac:dyDescent="0.25">
      <c r="A371" s="98"/>
      <c r="B371" s="104"/>
      <c r="C371" s="187"/>
      <c r="D371" s="187"/>
      <c r="E371" s="187"/>
      <c r="F371" s="187"/>
    </row>
    <row r="372" spans="1:6" s="52" customFormat="1" x14ac:dyDescent="0.25">
      <c r="A372" s="98"/>
      <c r="B372" s="8"/>
      <c r="C372" s="4" t="s">
        <v>31</v>
      </c>
      <c r="D372" s="12"/>
      <c r="E372" s="62"/>
      <c r="F372" s="62"/>
    </row>
    <row r="373" spans="1:6" s="52" customFormat="1" ht="30" customHeight="1" x14ac:dyDescent="0.25">
      <c r="A373" s="98"/>
      <c r="B373" s="10"/>
      <c r="C373" s="142" t="s">
        <v>32</v>
      </c>
      <c r="D373" s="143" t="s">
        <v>33</v>
      </c>
      <c r="E373" s="144"/>
      <c r="F373" s="143" t="s">
        <v>34</v>
      </c>
    </row>
    <row r="374" spans="1:6" s="52" customFormat="1" x14ac:dyDescent="0.25">
      <c r="A374" s="98"/>
      <c r="B374" s="8"/>
      <c r="C374" s="145"/>
      <c r="D374" s="174"/>
      <c r="E374" s="175"/>
      <c r="F374" s="62"/>
    </row>
    <row r="375" spans="1:6" s="52" customFormat="1" x14ac:dyDescent="0.25">
      <c r="A375" s="98"/>
      <c r="B375" s="8"/>
      <c r="C375" s="146" t="s">
        <v>35</v>
      </c>
      <c r="D375" s="147"/>
      <c r="E375" s="148">
        <f>+E376</f>
        <v>15000000</v>
      </c>
      <c r="F375" s="149"/>
    </row>
    <row r="376" spans="1:6" s="52" customFormat="1" x14ac:dyDescent="0.25">
      <c r="A376" s="98"/>
      <c r="B376" s="121">
        <v>4111</v>
      </c>
      <c r="C376" s="150" t="s">
        <v>211</v>
      </c>
      <c r="D376" s="151"/>
      <c r="E376" s="151">
        <v>15000000</v>
      </c>
      <c r="F376" s="64"/>
    </row>
    <row r="377" spans="1:6" s="52" customFormat="1" x14ac:dyDescent="0.25">
      <c r="A377" s="98"/>
      <c r="B377" s="121"/>
      <c r="C377" s="146" t="s">
        <v>36</v>
      </c>
      <c r="D377" s="147"/>
      <c r="E377" s="147">
        <v>2800000</v>
      </c>
      <c r="F377" s="64"/>
    </row>
    <row r="378" spans="1:6" s="52" customFormat="1" x14ac:dyDescent="0.25">
      <c r="A378" s="98"/>
      <c r="B378" s="121">
        <v>4121</v>
      </c>
      <c r="C378" s="152" t="s">
        <v>37</v>
      </c>
      <c r="D378" s="151"/>
      <c r="E378" s="151">
        <v>1850000</v>
      </c>
      <c r="F378" s="64"/>
    </row>
    <row r="379" spans="1:6" s="52" customFormat="1" x14ac:dyDescent="0.25">
      <c r="A379" s="98"/>
      <c r="B379" s="121">
        <v>4122</v>
      </c>
      <c r="C379" s="152" t="s">
        <v>38</v>
      </c>
      <c r="D379" s="151"/>
      <c r="E379" s="151">
        <v>950000</v>
      </c>
      <c r="F379" s="64"/>
    </row>
    <row r="380" spans="1:6" s="52" customFormat="1" x14ac:dyDescent="0.25">
      <c r="A380" s="98"/>
      <c r="B380" s="121"/>
      <c r="C380" s="153" t="s">
        <v>39</v>
      </c>
      <c r="D380" s="154"/>
      <c r="E380" s="154">
        <f>+E381</f>
        <v>50000</v>
      </c>
      <c r="F380" s="64"/>
    </row>
    <row r="381" spans="1:6" s="52" customFormat="1" x14ac:dyDescent="0.25">
      <c r="A381" s="98"/>
      <c r="B381" s="121">
        <v>4144</v>
      </c>
      <c r="C381" s="155" t="s">
        <v>145</v>
      </c>
      <c r="D381" s="151"/>
      <c r="E381" s="151">
        <v>50000</v>
      </c>
      <c r="F381" s="64"/>
    </row>
    <row r="382" spans="1:6" s="52" customFormat="1" x14ac:dyDescent="0.25">
      <c r="A382" s="98"/>
      <c r="B382" s="121"/>
      <c r="C382" s="146" t="s">
        <v>40</v>
      </c>
      <c r="D382" s="147"/>
      <c r="E382" s="147">
        <v>500000</v>
      </c>
      <c r="F382" s="64"/>
    </row>
    <row r="383" spans="1:6" s="52" customFormat="1" x14ac:dyDescent="0.25">
      <c r="A383" s="98"/>
      <c r="B383" s="121">
        <v>4151</v>
      </c>
      <c r="C383" s="152" t="s">
        <v>40</v>
      </c>
      <c r="D383" s="151"/>
      <c r="E383" s="151">
        <v>500000</v>
      </c>
      <c r="F383" s="64"/>
    </row>
    <row r="384" spans="1:6" s="52" customFormat="1" x14ac:dyDescent="0.25">
      <c r="A384" s="98"/>
      <c r="B384" s="121"/>
      <c r="C384" s="146" t="s">
        <v>41</v>
      </c>
      <c r="D384" s="147"/>
      <c r="E384" s="147">
        <v>0</v>
      </c>
      <c r="F384" s="64"/>
    </row>
    <row r="385" spans="1:6" s="52" customFormat="1" x14ac:dyDescent="0.25">
      <c r="A385" s="98"/>
      <c r="B385" s="121">
        <v>4161</v>
      </c>
      <c r="C385" s="152" t="s">
        <v>42</v>
      </c>
      <c r="D385" s="151"/>
      <c r="E385" s="151">
        <v>0</v>
      </c>
      <c r="F385" s="64"/>
    </row>
    <row r="386" spans="1:6" s="52" customFormat="1" x14ac:dyDescent="0.25">
      <c r="A386" s="98"/>
      <c r="B386" s="121"/>
      <c r="C386" s="146" t="s">
        <v>43</v>
      </c>
      <c r="D386" s="147"/>
      <c r="E386" s="147">
        <f>+E387+E388+E389+E390+E391+E392+E393</f>
        <v>14730000</v>
      </c>
      <c r="F386" s="64"/>
    </row>
    <row r="387" spans="1:6" s="52" customFormat="1" x14ac:dyDescent="0.25">
      <c r="A387" s="98"/>
      <c r="B387" s="121">
        <v>4211</v>
      </c>
      <c r="C387" s="152" t="s">
        <v>44</v>
      </c>
      <c r="D387" s="151"/>
      <c r="E387" s="151">
        <v>250000</v>
      </c>
      <c r="F387" s="64"/>
    </row>
    <row r="388" spans="1:6" s="52" customFormat="1" x14ac:dyDescent="0.25">
      <c r="A388" s="98"/>
      <c r="B388" s="121">
        <v>4212</v>
      </c>
      <c r="C388" s="155" t="s">
        <v>45</v>
      </c>
      <c r="D388" s="151"/>
      <c r="E388" s="151">
        <v>1000000</v>
      </c>
      <c r="F388" s="64"/>
    </row>
    <row r="389" spans="1:6" s="52" customFormat="1" x14ac:dyDescent="0.25">
      <c r="A389" s="98"/>
      <c r="B389" s="121">
        <v>4213</v>
      </c>
      <c r="C389" s="155" t="s">
        <v>46</v>
      </c>
      <c r="D389" s="151"/>
      <c r="E389" s="151">
        <v>400000</v>
      </c>
      <c r="F389" s="64"/>
    </row>
    <row r="390" spans="1:6" s="52" customFormat="1" x14ac:dyDescent="0.25">
      <c r="A390" s="98"/>
      <c r="B390" s="121">
        <v>4214</v>
      </c>
      <c r="C390" s="155" t="s">
        <v>47</v>
      </c>
      <c r="D390" s="151"/>
      <c r="E390" s="151">
        <v>600000</v>
      </c>
      <c r="F390" s="64"/>
    </row>
    <row r="391" spans="1:6" s="52" customFormat="1" x14ac:dyDescent="0.25">
      <c r="A391" s="98"/>
      <c r="B391" s="121">
        <v>4215</v>
      </c>
      <c r="C391" s="155" t="s">
        <v>48</v>
      </c>
      <c r="D391" s="151"/>
      <c r="E391" s="151">
        <v>250000</v>
      </c>
      <c r="F391" s="64"/>
    </row>
    <row r="392" spans="1:6" s="52" customFormat="1" x14ac:dyDescent="0.25">
      <c r="A392" s="98"/>
      <c r="B392" s="121">
        <v>4216</v>
      </c>
      <c r="C392" s="155" t="s">
        <v>49</v>
      </c>
      <c r="D392" s="151"/>
      <c r="E392" s="151">
        <f>4980000+7000000</f>
        <v>11980000</v>
      </c>
      <c r="F392" s="64"/>
    </row>
    <row r="393" spans="1:6" s="52" customFormat="1" x14ac:dyDescent="0.25">
      <c r="A393" s="98"/>
      <c r="B393" s="121">
        <v>4219</v>
      </c>
      <c r="C393" s="155" t="s">
        <v>50</v>
      </c>
      <c r="D393" s="151"/>
      <c r="E393" s="151">
        <v>250000</v>
      </c>
      <c r="F393" s="64"/>
    </row>
    <row r="394" spans="1:6" s="52" customFormat="1" x14ac:dyDescent="0.25">
      <c r="A394" s="98"/>
      <c r="B394" s="121"/>
      <c r="C394" s="146" t="s">
        <v>51</v>
      </c>
      <c r="D394" s="147"/>
      <c r="E394" s="147">
        <f>+E395+E396+E397+E398</f>
        <v>4000000</v>
      </c>
      <c r="F394" s="64"/>
    </row>
    <row r="395" spans="1:6" s="52" customFormat="1" x14ac:dyDescent="0.25">
      <c r="A395" s="98"/>
      <c r="B395" s="121">
        <v>4221</v>
      </c>
      <c r="C395" s="152" t="s">
        <v>52</v>
      </c>
      <c r="D395" s="151"/>
      <c r="E395" s="151">
        <v>700000</v>
      </c>
      <c r="F395" s="64"/>
    </row>
    <row r="396" spans="1:6" s="52" customFormat="1" x14ac:dyDescent="0.25">
      <c r="A396" s="98"/>
      <c r="B396" s="121">
        <v>4222</v>
      </c>
      <c r="C396" s="152" t="s">
        <v>53</v>
      </c>
      <c r="D396" s="151"/>
      <c r="E396" s="151">
        <f>4000000-1450000</f>
        <v>2550000</v>
      </c>
      <c r="F396" s="64"/>
    </row>
    <row r="397" spans="1:6" s="52" customFormat="1" x14ac:dyDescent="0.25">
      <c r="A397" s="98"/>
      <c r="B397" s="121">
        <v>4223</v>
      </c>
      <c r="C397" s="152" t="s">
        <v>54</v>
      </c>
      <c r="D397" s="151"/>
      <c r="E397" s="151">
        <v>500000</v>
      </c>
      <c r="F397" s="64"/>
    </row>
    <row r="398" spans="1:6" s="52" customFormat="1" x14ac:dyDescent="0.25">
      <c r="A398" s="98"/>
      <c r="B398" s="121">
        <v>4229</v>
      </c>
      <c r="C398" s="152" t="s">
        <v>55</v>
      </c>
      <c r="D398" s="151"/>
      <c r="E398" s="151">
        <v>250000</v>
      </c>
      <c r="F398" s="64"/>
    </row>
    <row r="399" spans="1:6" s="52" customFormat="1" x14ac:dyDescent="0.25">
      <c r="A399" s="98"/>
      <c r="B399" s="121"/>
      <c r="C399" s="146" t="s">
        <v>56</v>
      </c>
      <c r="D399" s="147"/>
      <c r="E399" s="147">
        <f>+E400+E401+E402+E403+E404+E405+E406</f>
        <v>29600000</v>
      </c>
      <c r="F399" s="64"/>
    </row>
    <row r="400" spans="1:6" s="52" customFormat="1" x14ac:dyDescent="0.25">
      <c r="A400" s="98"/>
      <c r="B400" s="121">
        <v>4231</v>
      </c>
      <c r="C400" s="155" t="s">
        <v>57</v>
      </c>
      <c r="D400" s="151"/>
      <c r="E400" s="151">
        <v>3000000</v>
      </c>
      <c r="F400" s="64"/>
    </row>
    <row r="401" spans="1:6" s="52" customFormat="1" x14ac:dyDescent="0.25">
      <c r="A401" s="98"/>
      <c r="B401" s="121">
        <v>4232</v>
      </c>
      <c r="C401" s="155" t="s">
        <v>58</v>
      </c>
      <c r="D401" s="151"/>
      <c r="E401" s="151">
        <v>2200000</v>
      </c>
      <c r="F401" s="64"/>
    </row>
    <row r="402" spans="1:6" s="52" customFormat="1" x14ac:dyDescent="0.25">
      <c r="A402" s="98"/>
      <c r="B402" s="121">
        <v>4233</v>
      </c>
      <c r="C402" s="152" t="s">
        <v>59</v>
      </c>
      <c r="D402" s="151"/>
      <c r="E402" s="151">
        <v>400000</v>
      </c>
      <c r="F402" s="64"/>
    </row>
    <row r="403" spans="1:6" s="134" customFormat="1" x14ac:dyDescent="0.25">
      <c r="A403" s="99"/>
      <c r="B403" s="121">
        <v>4234</v>
      </c>
      <c r="C403" s="155" t="s">
        <v>60</v>
      </c>
      <c r="D403" s="151"/>
      <c r="E403" s="151">
        <v>6000000</v>
      </c>
      <c r="F403" s="72"/>
    </row>
    <row r="404" spans="1:6" s="52" customFormat="1" x14ac:dyDescent="0.25">
      <c r="A404" s="98"/>
      <c r="B404" s="121">
        <v>4235</v>
      </c>
      <c r="C404" s="155" t="s">
        <v>61</v>
      </c>
      <c r="D404" s="151"/>
      <c r="E404" s="151">
        <v>7000000</v>
      </c>
      <c r="F404" s="64"/>
    </row>
    <row r="405" spans="1:6" s="52" customFormat="1" x14ac:dyDescent="0.25">
      <c r="A405" s="98"/>
      <c r="B405" s="121">
        <v>4237</v>
      </c>
      <c r="C405" s="155" t="s">
        <v>62</v>
      </c>
      <c r="D405" s="151"/>
      <c r="E405" s="151">
        <v>2000000</v>
      </c>
      <c r="F405" s="64"/>
    </row>
    <row r="406" spans="1:6" s="52" customFormat="1" x14ac:dyDescent="0.25">
      <c r="A406" s="98"/>
      <c r="B406" s="121">
        <v>4239</v>
      </c>
      <c r="C406" s="155" t="s">
        <v>63</v>
      </c>
      <c r="D406" s="151"/>
      <c r="E406" s="151">
        <v>9000000</v>
      </c>
      <c r="F406" s="64"/>
    </row>
    <row r="407" spans="1:6" s="52" customFormat="1" x14ac:dyDescent="0.25">
      <c r="A407" s="98"/>
      <c r="B407" s="121"/>
      <c r="C407" s="146" t="s">
        <v>64</v>
      </c>
      <c r="D407" s="147"/>
      <c r="E407" s="147">
        <f>+E408</f>
        <v>0</v>
      </c>
      <c r="F407" s="64"/>
    </row>
    <row r="408" spans="1:6" s="52" customFormat="1" x14ac:dyDescent="0.25">
      <c r="A408" s="98"/>
      <c r="B408" s="121">
        <v>4242</v>
      </c>
      <c r="C408" s="152" t="s">
        <v>65</v>
      </c>
      <c r="D408" s="151"/>
      <c r="E408" s="151">
        <v>0</v>
      </c>
      <c r="F408" s="72"/>
    </row>
    <row r="409" spans="1:6" s="52" customFormat="1" x14ac:dyDescent="0.25">
      <c r="A409" s="98"/>
      <c r="B409" s="121"/>
      <c r="C409" s="146" t="s">
        <v>66</v>
      </c>
      <c r="D409" s="147"/>
      <c r="E409" s="147">
        <f>+E410+E411</f>
        <v>1200000</v>
      </c>
      <c r="F409" s="64"/>
    </row>
    <row r="410" spans="1:6" s="52" customFormat="1" x14ac:dyDescent="0.25">
      <c r="A410" s="98"/>
      <c r="B410" s="121">
        <v>4251</v>
      </c>
      <c r="C410" s="152" t="s">
        <v>67</v>
      </c>
      <c r="D410" s="151"/>
      <c r="E410" s="151">
        <v>1000000</v>
      </c>
      <c r="F410" s="64"/>
    </row>
    <row r="411" spans="1:6" s="52" customFormat="1" x14ac:dyDescent="0.25">
      <c r="A411" s="98"/>
      <c r="B411" s="121">
        <v>4252</v>
      </c>
      <c r="C411" s="152" t="s">
        <v>68</v>
      </c>
      <c r="D411" s="151"/>
      <c r="E411" s="151">
        <v>200000</v>
      </c>
      <c r="F411" s="64"/>
    </row>
    <row r="412" spans="1:6" s="52" customFormat="1" x14ac:dyDescent="0.25">
      <c r="A412" s="98"/>
      <c r="B412" s="121"/>
      <c r="C412" s="146" t="s">
        <v>69</v>
      </c>
      <c r="D412" s="147"/>
      <c r="E412" s="147">
        <f>+E413+E414+E415+E416+E417</f>
        <v>1700000</v>
      </c>
      <c r="F412" s="64"/>
    </row>
    <row r="413" spans="1:6" s="52" customFormat="1" x14ac:dyDescent="0.25">
      <c r="A413" s="98"/>
      <c r="B413" s="121">
        <v>4261</v>
      </c>
      <c r="C413" s="155" t="s">
        <v>70</v>
      </c>
      <c r="D413" s="151"/>
      <c r="E413" s="151">
        <v>800000</v>
      </c>
      <c r="F413" s="64"/>
    </row>
    <row r="414" spans="1:6" s="52" customFormat="1" x14ac:dyDescent="0.25">
      <c r="A414" s="98"/>
      <c r="B414" s="121">
        <v>4263</v>
      </c>
      <c r="C414" s="152" t="s">
        <v>71</v>
      </c>
      <c r="D414" s="151"/>
      <c r="E414" s="151">
        <v>300000</v>
      </c>
      <c r="F414" s="64"/>
    </row>
    <row r="415" spans="1:6" s="52" customFormat="1" x14ac:dyDescent="0.25">
      <c r="A415" s="98"/>
      <c r="B415" s="121">
        <v>4264</v>
      </c>
      <c r="C415" s="152" t="s">
        <v>143</v>
      </c>
      <c r="D415" s="151"/>
      <c r="E415" s="151">
        <v>0</v>
      </c>
      <c r="F415" s="64"/>
    </row>
    <row r="416" spans="1:6" s="52" customFormat="1" x14ac:dyDescent="0.25">
      <c r="A416" s="98"/>
      <c r="B416" s="121">
        <v>4266</v>
      </c>
      <c r="C416" s="152" t="s">
        <v>72</v>
      </c>
      <c r="D416" s="151"/>
      <c r="E416" s="151">
        <v>0</v>
      </c>
      <c r="F416" s="64"/>
    </row>
    <row r="417" spans="1:6" s="52" customFormat="1" x14ac:dyDescent="0.25">
      <c r="A417" s="98"/>
      <c r="B417" s="121">
        <v>4268</v>
      </c>
      <c r="C417" s="152" t="s">
        <v>73</v>
      </c>
      <c r="D417" s="151"/>
      <c r="E417" s="151">
        <v>600000</v>
      </c>
      <c r="F417" s="64"/>
    </row>
    <row r="418" spans="1:6" s="52" customFormat="1" x14ac:dyDescent="0.25">
      <c r="A418" s="98"/>
      <c r="B418" s="121"/>
      <c r="C418" s="156" t="s">
        <v>74</v>
      </c>
      <c r="D418" s="154"/>
      <c r="E418" s="154">
        <v>100000</v>
      </c>
      <c r="F418" s="64"/>
    </row>
    <row r="419" spans="1:6" s="52" customFormat="1" x14ac:dyDescent="0.25">
      <c r="A419" s="98"/>
      <c r="B419" s="121">
        <v>4822</v>
      </c>
      <c r="C419" s="152" t="s">
        <v>75</v>
      </c>
      <c r="D419" s="151"/>
      <c r="E419" s="151">
        <v>100000</v>
      </c>
      <c r="F419" s="64"/>
    </row>
    <row r="420" spans="1:6" s="52" customFormat="1" x14ac:dyDescent="0.25">
      <c r="A420" s="98"/>
      <c r="B420" s="121"/>
      <c r="C420" s="156" t="s">
        <v>221</v>
      </c>
      <c r="D420" s="151"/>
      <c r="E420" s="151"/>
      <c r="F420" s="72">
        <f>+F421</f>
        <v>0</v>
      </c>
    </row>
    <row r="421" spans="1:6" s="52" customFormat="1" x14ac:dyDescent="0.25">
      <c r="A421" s="98"/>
      <c r="B421" s="121">
        <v>5113</v>
      </c>
      <c r="C421" s="152" t="s">
        <v>144</v>
      </c>
      <c r="D421" s="151"/>
      <c r="E421" s="151"/>
      <c r="F421" s="64">
        <v>0</v>
      </c>
    </row>
    <row r="422" spans="1:6" s="52" customFormat="1" x14ac:dyDescent="0.25">
      <c r="A422" s="98"/>
      <c r="B422" s="121"/>
      <c r="C422" s="156" t="s">
        <v>76</v>
      </c>
      <c r="D422" s="151"/>
      <c r="E422" s="151"/>
      <c r="F422" s="72">
        <f>+F423+F424</f>
        <v>600000</v>
      </c>
    </row>
    <row r="423" spans="1:6" s="52" customFormat="1" ht="24" customHeight="1" x14ac:dyDescent="0.25">
      <c r="A423" s="98"/>
      <c r="B423" s="121">
        <v>5121</v>
      </c>
      <c r="C423" s="152" t="s">
        <v>222</v>
      </c>
      <c r="D423" s="151"/>
      <c r="E423" s="151"/>
      <c r="F423" s="64">
        <v>0</v>
      </c>
    </row>
    <row r="424" spans="1:6" s="52" customFormat="1" x14ac:dyDescent="0.25">
      <c r="A424" s="98"/>
      <c r="B424" s="121">
        <v>5126</v>
      </c>
      <c r="C424" s="152" t="s">
        <v>223</v>
      </c>
      <c r="D424" s="151"/>
      <c r="E424" s="151"/>
      <c r="F424" s="64">
        <v>600000</v>
      </c>
    </row>
    <row r="425" spans="1:6" x14ac:dyDescent="0.25">
      <c r="A425" s="98"/>
      <c r="B425" s="10"/>
      <c r="C425" s="157"/>
      <c r="D425" s="158"/>
      <c r="E425" s="158"/>
      <c r="F425" s="67"/>
    </row>
    <row r="426" spans="1:6" x14ac:dyDescent="0.25">
      <c r="A426" s="98"/>
      <c r="C426" s="16" t="s">
        <v>84</v>
      </c>
      <c r="D426" s="159">
        <f>+D375+D377+D380+D382+D386+D394+D399+D407+D409+D412+D418</f>
        <v>0</v>
      </c>
      <c r="E426" s="159">
        <f>+E375+E377+E380+E382+E386+E394+E399+E407+E409+E412+E418</f>
        <v>69680000</v>
      </c>
      <c r="F426" s="159">
        <f>+F420+F422</f>
        <v>600000</v>
      </c>
    </row>
    <row r="427" spans="1:6" x14ac:dyDescent="0.25">
      <c r="A427" s="98"/>
      <c r="C427" s="16"/>
      <c r="D427" s="159"/>
      <c r="E427" s="64"/>
      <c r="F427" s="159"/>
    </row>
    <row r="428" spans="1:6" x14ac:dyDescent="0.25">
      <c r="A428" s="98"/>
      <c r="C428" s="4" t="s">
        <v>180</v>
      </c>
      <c r="D428" s="5"/>
      <c r="E428" s="62"/>
    </row>
    <row r="429" spans="1:6" ht="18" customHeight="1" x14ac:dyDescent="0.25">
      <c r="A429" s="98"/>
      <c r="D429" s="5"/>
      <c r="E429" s="64"/>
    </row>
    <row r="430" spans="1:6" x14ac:dyDescent="0.25">
      <c r="A430" s="98"/>
      <c r="C430" s="8" t="s">
        <v>77</v>
      </c>
      <c r="D430" s="9"/>
      <c r="E430" s="72">
        <v>855362000</v>
      </c>
    </row>
    <row r="431" spans="1:6" x14ac:dyDescent="0.25">
      <c r="A431" s="98"/>
      <c r="C431" s="8" t="s">
        <v>82</v>
      </c>
      <c r="D431" s="9"/>
      <c r="E431" s="72">
        <v>42067000</v>
      </c>
    </row>
    <row r="432" spans="1:6" x14ac:dyDescent="0.25">
      <c r="A432" s="98"/>
      <c r="C432" s="8" t="s">
        <v>123</v>
      </c>
      <c r="D432" s="9"/>
      <c r="E432" s="72">
        <v>18220000</v>
      </c>
    </row>
    <row r="433" spans="1:6" x14ac:dyDescent="0.25">
      <c r="A433" s="98"/>
      <c r="C433" s="8" t="s">
        <v>213</v>
      </c>
      <c r="D433" s="9"/>
      <c r="E433" s="72">
        <v>2699000</v>
      </c>
    </row>
    <row r="434" spans="1:6" x14ac:dyDescent="0.25">
      <c r="A434" s="98"/>
      <c r="C434" s="8" t="s">
        <v>78</v>
      </c>
      <c r="D434" s="9"/>
      <c r="E434" s="72">
        <v>10092000</v>
      </c>
    </row>
    <row r="435" spans="1:6" x14ac:dyDescent="0.25">
      <c r="A435" s="98"/>
      <c r="C435" s="8" t="s">
        <v>79</v>
      </c>
      <c r="D435" s="9"/>
      <c r="E435" s="72">
        <v>69680000</v>
      </c>
    </row>
    <row r="436" spans="1:6" x14ac:dyDescent="0.25">
      <c r="A436" s="98"/>
      <c r="C436" s="8" t="s">
        <v>80</v>
      </c>
      <c r="D436" s="9"/>
      <c r="E436" s="72">
        <v>600000</v>
      </c>
    </row>
    <row r="437" spans="1:6" x14ac:dyDescent="0.25">
      <c r="A437" s="98"/>
      <c r="B437" s="10"/>
      <c r="C437" s="10"/>
      <c r="D437" s="11"/>
      <c r="E437" s="67"/>
      <c r="F437" s="67"/>
    </row>
    <row r="438" spans="1:6" x14ac:dyDescent="0.25">
      <c r="A438" s="98"/>
      <c r="C438" s="16" t="s">
        <v>87</v>
      </c>
      <c r="D438" s="9"/>
      <c r="E438" s="72">
        <f>SUM(E430:E437)</f>
        <v>998720000</v>
      </c>
      <c r="F438" s="160"/>
    </row>
    <row r="439" spans="1:6" x14ac:dyDescent="0.25">
      <c r="A439" s="98"/>
      <c r="E439" s="64"/>
    </row>
    <row r="440" spans="1:6" x14ac:dyDescent="0.25">
      <c r="A440" s="98"/>
      <c r="E440" s="64"/>
    </row>
    <row r="441" spans="1:6" x14ac:dyDescent="0.25">
      <c r="A441" s="98"/>
      <c r="E441" s="64"/>
    </row>
    <row r="442" spans="1:6" x14ac:dyDescent="0.25">
      <c r="A442" s="98"/>
      <c r="C442" s="6" t="s">
        <v>403</v>
      </c>
      <c r="D442" s="161" t="s">
        <v>388</v>
      </c>
      <c r="E442" s="64"/>
    </row>
    <row r="443" spans="1:6" ht="28.5" customHeight="1" x14ac:dyDescent="0.25">
      <c r="A443" s="98"/>
      <c r="D443" s="161" t="s">
        <v>336</v>
      </c>
      <c r="E443" s="64"/>
    </row>
  </sheetData>
  <autoFilter ref="A1:A443" xr:uid="{00000000-0009-0000-0000-000000000000}"/>
  <mergeCells count="50">
    <mergeCell ref="C145:F145"/>
    <mergeCell ref="C154:F154"/>
    <mergeCell ref="C159:F159"/>
    <mergeCell ref="C164:F164"/>
    <mergeCell ref="C108:F108"/>
    <mergeCell ref="C118:F118"/>
    <mergeCell ref="C127:F127"/>
    <mergeCell ref="C139:F139"/>
    <mergeCell ref="C144:D144"/>
    <mergeCell ref="C93:E93"/>
    <mergeCell ref="C98:F98"/>
    <mergeCell ref="C107:D107"/>
    <mergeCell ref="A75:C75"/>
    <mergeCell ref="A90:C90"/>
    <mergeCell ref="C1:E1"/>
    <mergeCell ref="C2:E2"/>
    <mergeCell ref="C15:F15"/>
    <mergeCell ref="C39:F39"/>
    <mergeCell ref="C43:D43"/>
    <mergeCell ref="C44:F44"/>
    <mergeCell ref="C55:F55"/>
    <mergeCell ref="C279:D279"/>
    <mergeCell ref="C268:D268"/>
    <mergeCell ref="B204:E204"/>
    <mergeCell ref="C178:D178"/>
    <mergeCell ref="C177:F177"/>
    <mergeCell ref="C183:F183"/>
    <mergeCell ref="C172:F172"/>
    <mergeCell ref="C195:F195"/>
    <mergeCell ref="B198:E198"/>
    <mergeCell ref="C186:F186"/>
    <mergeCell ref="C193:F193"/>
    <mergeCell ref="C188:F188"/>
    <mergeCell ref="C65:F65"/>
    <mergeCell ref="C78:F78"/>
    <mergeCell ref="C200:F200"/>
    <mergeCell ref="C371:F371"/>
    <mergeCell ref="C368:F368"/>
    <mergeCell ref="C206:F206"/>
    <mergeCell ref="C278:D278"/>
    <mergeCell ref="C211:F211"/>
    <mergeCell ref="C221:F221"/>
    <mergeCell ref="C216:F216"/>
    <mergeCell ref="C269:F269"/>
    <mergeCell ref="C237:F237"/>
    <mergeCell ref="C246:F246"/>
    <mergeCell ref="C253:F253"/>
    <mergeCell ref="C261:F261"/>
    <mergeCell ref="C226:F226"/>
    <mergeCell ref="C239:F239"/>
  </mergeCells>
  <phoneticPr fontId="3" type="noConversion"/>
  <pageMargins left="0.19685039370078741" right="0" top="0" bottom="0" header="0.31496062992125984" footer="0.31496062992125984"/>
  <pageSetup paperSize="9" scale="65" fitToHeight="0" orientation="landscape" r:id="rId1"/>
  <rowBreaks count="13" manualBreakCount="13">
    <brk id="35" max="16383" man="1"/>
    <brk id="62" max="16383" man="1"/>
    <brk id="91" max="16383" man="1"/>
    <brk id="125" max="16383" man="1"/>
    <brk id="143" max="16383" man="1"/>
    <brk id="168" max="16383" man="1"/>
    <brk id="203" max="16383" man="1"/>
    <brk id="235" max="16383" man="1"/>
    <brk id="267" max="16383" man="1"/>
    <brk id="276" max="16383" man="1"/>
    <brk id="315" max="16383" man="1"/>
    <brk id="370" max="16383" man="1"/>
    <brk id="417" max="16383" man="1"/>
  </rowBreaks>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vt:i4>
      </vt:variant>
      <vt:variant>
        <vt:lpstr>Imenovani opsezi</vt:lpstr>
      </vt:variant>
      <vt:variant>
        <vt:i4>1</vt:i4>
      </vt:variant>
    </vt:vector>
  </HeadingPairs>
  <TitlesOfParts>
    <vt:vector size="2" baseType="lpstr">
      <vt:lpstr>фЦС ПЛАН 2024.</vt:lpstr>
      <vt:lpstr>'фЦС ПЛАН 2024.'!Oblast_štampanja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Snezana Marić</dc:creator>
  <cp:lastModifiedBy>Bojan Đurovac</cp:lastModifiedBy>
  <cp:lastPrinted>2024-07-08T14:25:28Z</cp:lastPrinted>
  <dcterms:created xsi:type="dcterms:W3CDTF">2015-01-09T09:45:15Z</dcterms:created>
  <dcterms:modified xsi:type="dcterms:W3CDTF">2024-11-14T15:19:39Z</dcterms:modified>
</cp:coreProperties>
</file>