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Bojan\Desktop\Ugovor o finansiranju 2026\Aneks 1 2026\"/>
    </mc:Choice>
  </mc:AlternateContent>
  <xr:revisionPtr revIDLastSave="0" documentId="13_ncr:1_{14CB1196-4503-4468-9F97-65DEEEAEAA14}" xr6:coauthVersionLast="47" xr6:coauthVersionMax="47" xr10:uidLastSave="{00000000-0000-0000-0000-000000000000}"/>
  <bookViews>
    <workbookView xWindow="-120" yWindow="-120" windowWidth="29040" windowHeight="15720" xr2:uid="{00000000-000D-0000-FFFF-FFFF00000000}"/>
  </bookViews>
  <sheets>
    <sheet name="фЦС ПЛАН 2026." sheetId="1" r:id="rId1"/>
  </sheets>
  <definedNames>
    <definedName name="_xlnm._FilterDatabase" localSheetId="0" hidden="1">'фЦС ПЛАН 2026.'!$A$1:$E$469</definedName>
    <definedName name="_xlnm.Print_Area" localSheetId="0">'фЦС ПЛАН 2026.'!$A$1:$E$469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1" i="1" l="1"/>
  <c r="D450" i="1"/>
  <c r="D438" i="1"/>
  <c r="D421" i="1"/>
  <c r="E34" i="1"/>
  <c r="C11" i="1"/>
  <c r="C446" i="1"/>
  <c r="C450" i="1" s="1"/>
  <c r="D460" i="1" s="1"/>
  <c r="D192" i="1"/>
  <c r="E220" i="1"/>
  <c r="E24" i="1"/>
  <c r="D454" i="1" s="1"/>
  <c r="D433" i="1"/>
  <c r="E374" i="1" l="1"/>
  <c r="E229" i="1"/>
  <c r="D67" i="1"/>
  <c r="D53" i="1"/>
  <c r="D52" i="1"/>
  <c r="D66" i="1"/>
  <c r="C5" i="1" l="1"/>
  <c r="D49" i="1" l="1"/>
  <c r="C48" i="1" s="1"/>
  <c r="D69" i="1"/>
  <c r="D39" i="1"/>
  <c r="D91" i="1"/>
  <c r="D90" i="1"/>
  <c r="D82" i="1"/>
  <c r="E85" i="1" s="1"/>
  <c r="D404" i="1"/>
  <c r="D406" i="1"/>
  <c r="D409" i="1"/>
  <c r="D411" i="1"/>
  <c r="D413" i="1"/>
  <c r="D425" i="1"/>
  <c r="D435" i="1"/>
  <c r="D442" i="1"/>
  <c r="D38" i="1"/>
  <c r="D51" i="1"/>
  <c r="D54" i="1"/>
  <c r="D55" i="1"/>
  <c r="D61" i="1"/>
  <c r="D62" i="1"/>
  <c r="D68" i="1"/>
  <c r="D76" i="1"/>
  <c r="D89" i="1"/>
  <c r="D98" i="1"/>
  <c r="D103" i="1"/>
  <c r="D108" i="1"/>
  <c r="D113" i="1"/>
  <c r="D114" i="1"/>
  <c r="D115" i="1"/>
  <c r="D120" i="1"/>
  <c r="D125" i="1"/>
  <c r="D135" i="1"/>
  <c r="D140" i="1"/>
  <c r="D145" i="1"/>
  <c r="D150" i="1"/>
  <c r="D154" i="1"/>
  <c r="D155" i="1"/>
  <c r="D157" i="1"/>
  <c r="D162" i="1"/>
  <c r="D167" i="1"/>
  <c r="D168" i="1"/>
  <c r="E177" i="1"/>
  <c r="E183" i="1"/>
  <c r="E188" i="1"/>
  <c r="E193" i="1"/>
  <c r="E199" i="1"/>
  <c r="E205" i="1"/>
  <c r="E210" i="1"/>
  <c r="E215" i="1"/>
  <c r="E234" i="1"/>
  <c r="D241" i="1"/>
  <c r="D242" i="1"/>
  <c r="D244" i="1"/>
  <c r="D245" i="1"/>
  <c r="D249" i="1"/>
  <c r="D255" i="1"/>
  <c r="E264" i="1"/>
  <c r="D270" i="1"/>
  <c r="E272" i="1" s="1"/>
  <c r="E285" i="1"/>
  <c r="E294" i="1"/>
  <c r="E303" i="1"/>
  <c r="E312" i="1"/>
  <c r="E321" i="1"/>
  <c r="E329" i="1"/>
  <c r="D335" i="1"/>
  <c r="E345" i="1"/>
  <c r="E354" i="1"/>
  <c r="E364" i="1"/>
  <c r="E382" i="1"/>
  <c r="E390" i="1"/>
  <c r="E394" i="1"/>
  <c r="E236" i="1" l="1"/>
  <c r="E44" i="1"/>
  <c r="E121" i="1"/>
  <c r="E126" i="1"/>
  <c r="E109" i="1"/>
  <c r="E136" i="1"/>
  <c r="E146" i="1"/>
  <c r="E78" i="1"/>
  <c r="E141" i="1"/>
  <c r="E339" i="1"/>
  <c r="E396" i="1" s="1"/>
  <c r="E169" i="1"/>
  <c r="E94" i="1"/>
  <c r="E163" i="1"/>
  <c r="E158" i="1"/>
  <c r="C50" i="1"/>
  <c r="E57" i="1" s="1"/>
  <c r="E72" i="1"/>
  <c r="E257" i="1"/>
  <c r="E250" i="1"/>
  <c r="E246" i="1"/>
  <c r="E116" i="1"/>
  <c r="E104" i="1"/>
  <c r="C10" i="1"/>
  <c r="E171" i="1" l="1"/>
  <c r="D455" i="1" s="1"/>
  <c r="D458" i="1"/>
  <c r="C8" i="1"/>
  <c r="E274" i="1"/>
  <c r="D456" i="1"/>
  <c r="C7" i="1"/>
  <c r="D459" i="1"/>
  <c r="E397" i="1" l="1"/>
  <c r="E399" i="1" s="1"/>
  <c r="C6" i="1"/>
  <c r="D457" i="1"/>
  <c r="D462" i="1" s="1"/>
  <c r="C9" i="1"/>
  <c r="C13" i="1" l="1"/>
  <c r="D5" i="1" l="1"/>
  <c r="D9" i="1"/>
  <c r="D10" i="1"/>
  <c r="D11" i="1"/>
  <c r="D8" i="1"/>
  <c r="D6" i="1"/>
  <c r="D7" i="1"/>
  <c r="D13" i="1" l="1"/>
</calcChain>
</file>

<file path=xl/sharedStrings.xml><?xml version="1.0" encoding="utf-8"?>
<sst xmlns="http://schemas.openxmlformats.org/spreadsheetml/2006/main" count="545" uniqueCount="389">
  <si>
    <t>Филмски центар Србије</t>
  </si>
  <si>
    <t>РСД</t>
  </si>
  <si>
    <t>%</t>
  </si>
  <si>
    <t>КОНКУРСИ</t>
  </si>
  <si>
    <t>МЕЂУНАРОДНА САРАДЊА</t>
  </si>
  <si>
    <t>ДОМАЋА САРАДЊА</t>
  </si>
  <si>
    <t>ИЗДАВАШТВО</t>
  </si>
  <si>
    <t>MEDIA Деск Србија</t>
  </si>
  <si>
    <t>ТЕКУЋИ ТРОШКОВИ (РЕДОВНА ДЕЛАТНОСТ)</t>
  </si>
  <si>
    <t>ИНВЕСТИЦИЈЕ И ОПРЕМА</t>
  </si>
  <si>
    <t xml:space="preserve">ТОТАЛ ПРОГРАМИ, РЕДОВНА ДЕЛАТНОСТ И ИНВЕСТИЦИЈЕ </t>
  </si>
  <si>
    <t>КОНКУРСИ - План и програм  2026.</t>
  </si>
  <si>
    <t>Суфинансирање производње домаћих документарних филмова</t>
  </si>
  <si>
    <t>Суфинансирање производње мањинских копродукција</t>
  </si>
  <si>
    <t>Репрограмирање дуговања из претходних година</t>
  </si>
  <si>
    <t>ТОТАЛ КОНКУРСИ</t>
  </si>
  <si>
    <t>Фонд за подршку, подстицање и промоцију српског филма у земљи и свету</t>
  </si>
  <si>
    <t>Средства којима jе омогућена стална подршка нашим ауторима и њиховим филмовима на наступима на међународним фестивалима и пичинг сесијама и радионицама. Намера је овог фонда да буде флексибилан и ефикасан, лако доступан на кратке рокове с обзиром да је немогуће планирати све оне позиве на фестивале и пичинг сесије. Фонд укључује пичинге, награде, путне трошкове, репрезентацију, тренинг и друго и подељен је у основне групе:
- Авионске карте / смештај за редитеља/продуцента (и у изузетним случаjевима неким другим члановима филмске екипе) за  пут на фестивал уколико jе филм у неком од званичних програма: Berlin, Kan, Venecija, Sandens, IDFA (Amsterdam), Peking, Moskva, Toronto, Locarno, Sarajevo, Pula, Thessaloniki, Sofia, Tokio, Shanghai, Busan, Roterdam, Leipzig, San Sebastian, Karlovy Vary, Les Arcs, Dok Lepizig, Warsaw..., као и за учешће на пичинзима и радионицама и копродукциjским маркетима: EAVE, Torino Film Lab, Berlinale Coproduction Market, Sofia Meetings, Toronto Producers Lab, AGORA Meetings Thessaloniki, Les Arcs, Leipzig Dok Copro market, CPH:LAB, IDFA, Lorcarno Step in, EX Oriente, Sundance Scriptwriters Lab, EURODOC, ACE, Erich Prommer Institute courses, Circle, FILM TEEP (Film Training for East European Professionals), EP2C, Cartoon 360, EFA Master Class. Такође и авионске карте за стране експерте, селекторе/директоре фестивала, представнике фондова, продуценте и остале филмске професионалце коjи су значаjни за домаће ауторе и српску кинематографиjу уопште. 
- Котизациjа за поменуте радионице
- Пријеми у част српских филмова подразумевају организовање пријема на неком од значајних светских филмских фестивала уколико је филм из Србије ушао у један од званичних програма и сматра се да је неопходно филм додатно подржати
- У случају одржавања неке од радионица у Србији отвара се могућност за довођење експерата који би домаћим филмским профестионалцима омогућили посебне тренинге и ускостручна саветовања. 
- Поред филмских маркета у Берлину и Кану, ФЦС унапређуjе учешће аутора на маркетима филмских проjеката и филмским форумима у оквиру филмских фестивала. Поред продуцента и редитеља, маркети проjеката одлична су платформа за партнерске односе ФЦС са сродним институциjама, као и са иностраним ауторима проjеката коjима се представља конкурс ФЦС за мањинске копродукциjе и начини аплицирања.</t>
  </si>
  <si>
    <t>Авионске карте (остали)</t>
  </si>
  <si>
    <t>Смештај</t>
  </si>
  <si>
    <t xml:space="preserve">Организација догађаја </t>
  </si>
  <si>
    <t>Котизациjа за радионице</t>
  </si>
  <si>
    <t xml:space="preserve">Мрежни догађаји, награде и остале услуге из области културе </t>
  </si>
  <si>
    <t>Дневнице за представнике ФЦС</t>
  </si>
  <si>
    <t>ТОТАЛ</t>
  </si>
  <si>
    <t>Трст - When East Meets West</t>
  </si>
  <si>
    <t xml:space="preserve">Копродукциони форум When East Мeets West - WEMW се одржава у оквиру Међународног филмског фестивала у Трсту уз помоћ ФВГ аудиовизуелног фонда уз подршку Креативне Европе, Италиjанског министарства културе а у сарадњи са EAVE, већ дуги низ година. Главни циљ организовањa Форума WEMW, у сарадњи са ФЦС, доноси могућност да продуценти и проjекти из Србиjе који на њему учествују, стекну прилику да усаврше своја стручна знања и вештине, као и да стекну пословне контакте на међународном нивоу. За проjекте коjи су у развоjу отвара се могућност за међународне копродукциjе. На форуму годишње се окупља око 400 филмских професионалаца из целе Европе. ФЦС jе, као основни партнер и покровитељ главне награде заступљен у свим брошурама и програмима.
</t>
  </si>
  <si>
    <t>Награда филмског центра Србије за најбољи пројекат у развоју</t>
  </si>
  <si>
    <t>5.000 EUR</t>
  </si>
  <si>
    <t xml:space="preserve">Котизација за учешће српских продуцената </t>
  </si>
  <si>
    <t>1.500 EUR</t>
  </si>
  <si>
    <t>Репрезентација</t>
  </si>
  <si>
    <t>1.000 EUR</t>
  </si>
  <si>
    <t xml:space="preserve">Дневнице за представникe ФЦС </t>
  </si>
  <si>
    <t>Маркет Берлинског филмског фестивала</t>
  </si>
  <si>
    <t>II део трошкова за Маркет  2026, јануар 2026.</t>
  </si>
  <si>
    <t>Трошкови на штанду и репрезентација</t>
  </si>
  <si>
    <t>3.000 EUR</t>
  </si>
  <si>
    <t>I део трошкова за Маркет 2027, септембар 2026.</t>
  </si>
  <si>
    <t>Штанд и најам опреме за штанд</t>
  </si>
  <si>
    <t>10.000 EUR</t>
  </si>
  <si>
    <t>Смештај за представнике ФЦС</t>
  </si>
  <si>
    <t>Акредитације</t>
  </si>
  <si>
    <t>700 EUR</t>
  </si>
  <si>
    <t>Преносиве акредитације</t>
  </si>
  <si>
    <t>400 EUR</t>
  </si>
  <si>
    <t>Маркет Канског филмског фестивала</t>
  </si>
  <si>
    <t>Маркет у Кану је, традиционално, најзначајније место за промоцију кинематографије. Наредно издање овог фестивала је изузетна прилика да се крунишу напори који су учињени током претходне године и представе сви они филмови који су већ побрали велику пажњу међународне и домаће јавности као и филмови који још увек нису имали светску премијеру. Већ етаблирани регионални штанд у Кану jе идеална позициjа за промоциjу српског филма.</t>
  </si>
  <si>
    <t>Павиљон, изнајмљивање простора, изградња и декорација</t>
  </si>
  <si>
    <t>19.000 EUR</t>
  </si>
  <si>
    <t xml:space="preserve">Преносиве акредитациjе </t>
  </si>
  <si>
    <t>500 EUR</t>
  </si>
  <si>
    <t>Припрема каталога (прикупљање и обрада података и материјала за филмове)</t>
  </si>
  <si>
    <t>60.000 RSD</t>
  </si>
  <si>
    <t>Дизајн каталога, огласа, позивница и постера</t>
  </si>
  <si>
    <t>300.000 RSD</t>
  </si>
  <si>
    <t>Смештаj</t>
  </si>
  <si>
    <t>Путно осигурање</t>
  </si>
  <si>
    <t>17.000 RSD  x 6 особа</t>
  </si>
  <si>
    <t>Трошкови на штанду</t>
  </si>
  <si>
    <t>Промотивни материјали на штанду (торбе, УСБ картице, агенде, оловке...)</t>
  </si>
  <si>
    <t>Организација догађаја</t>
  </si>
  <si>
    <t>ReActing as a Star</t>
  </si>
  <si>
    <t>Фонд за подршку</t>
  </si>
  <si>
    <t xml:space="preserve">10.000 EUR </t>
  </si>
  <si>
    <t>15 EUR х 4 дана х 1 особa</t>
  </si>
  <si>
    <t>Партнерство</t>
  </si>
  <si>
    <t>Сараjево филм фестивал</t>
  </si>
  <si>
    <t>Као и сваке године, једно од стратешки важних тачака за промоцију српског филма је Сарајево филм фестивал. Филмови из Србије су у више наврата последњих пет година побеђивали, пројекти из Србије добијали су подршку на CineLinku, десетине младих сваке године учествује на Saraјevo Talent Campusu... Осим учешћа у индустријском делу Фестивала представника ФЦС и подршке филмовима у програмима Фестивала, ФЦС спонзорише награду за најбољи пројекат на CineLinku.</t>
  </si>
  <si>
    <t>Путни трошкови за представнике ФЦС</t>
  </si>
  <si>
    <t xml:space="preserve">ИДФА - промоциjа документарних филмова </t>
  </si>
  <si>
    <t>У оквиру ИДФА - Међународног фестивала документарног филма у Амстердаму, коjи jе jедан од наjвећих и наjважниjих фестивала документарног филма на свету, ФЦС планира представљање српских документарних филмова, имајући у виду веома позитивно искуство из претходних година. Такође, имаjући у виду да класичан маркет не постоjи и да продуценти самостално врше промоциjу у оквиру програма "Docs for Sale". Традиционално део делегације чини и председник Удружења документариста Србије (DOKSrbija).</t>
  </si>
  <si>
    <t>Aкредитације за учеснике</t>
  </si>
  <si>
    <t>500 ЕUR x 5 особа</t>
  </si>
  <si>
    <t>Смештај за учеснике</t>
  </si>
  <si>
    <t>250.000 РСД</t>
  </si>
  <si>
    <t>Дневнице</t>
  </si>
  <si>
    <t>SERBIAN WORKS IN PROGRESS</t>
  </si>
  <si>
    <t>Serbian works in progress jе платформа за међународну промоциjу домаћих филмова.
Идеjа jе да се сваке године угосте у Србиjи селектори великих светских фестивала (Кан, Венециjа, Берлин, Локарно, Ротердам, Санденс, Сан Себастиjан, Карлови Вари и др.). Они би се том приликом упознали са новим српским филмовима, коjи су у завршноj фази реализациjе. Циљ ове активности jе повећање видљивости и присуства српског филма на међународним фестивалима. Броj филмова коjи би гости гледали зависио би од продукциjе те године. У зависности од броjа, и фазе у коjоj се филмови налазе, пуштали би се цели филмови или првих 20-так минута, уколико нису jош завршени али су у одмаклоj фази пост-продукциjе. Програм би укључивао и дугометражне игране и документарне филмове. Поред проjекциjа, за госте би биле организоване и друге активности коjе укључуjу интеракциjу са домаћом индустриjом (панел дискусиjе и неформална "дружења" у виду коктела / вечера) али и обилазак Београда или других знаменитости. Веома jе важно да гости боље упознаjу контекст у ком наши филмови настаjу и људе коjи их производе.</t>
  </si>
  <si>
    <t xml:space="preserve">Оброци </t>
  </si>
  <si>
    <t>10 гостију х 4 дана х 2 оброка х 30  EUR</t>
  </si>
  <si>
    <t xml:space="preserve">Коктел добродошлице </t>
  </si>
  <si>
    <t>1.000  EUR</t>
  </si>
  <si>
    <t xml:space="preserve">Израда и штампа материјала </t>
  </si>
  <si>
    <t>500  EUR</t>
  </si>
  <si>
    <t xml:space="preserve">Координатор пројекта </t>
  </si>
  <si>
    <t>2.000  EUR</t>
  </si>
  <si>
    <t xml:space="preserve">Асистент координатора пројекта </t>
  </si>
  <si>
    <t>REACT / партнерство и учешће продуцената из Србије</t>
  </si>
  <si>
    <t>REACT је заједничка развојна иницијатива (Италија, Словенија, Хрватска) коју је 2015. године покренуо италијански ФВГ аудиовизуелни фонд. Главни циљ је подстицање међународне копродукције у региону кроз две различите и комплементарне фазе: 1) платформа за обуку у којој професионалци могу развити своје пројекте и упознати потенцијалне копродуценте; 2) шема за финансирање заједничког развоја пројеката, која подразумева подршку дугометражних играних, документарних и анимараних филмова у копродукцији са најмање две земље које учествују у REACT -у. Од 2019. године Србија је уз Словенију, Италију и Хрватску пуноправни члан REACT-а и самим тим српски филмски професионалци су сада у прилици да похађаjу броjне REACT радионице и да се приjављуjу за програм копродукционог финансирања у склопу поменуте инциjативе. ФЦС би сносио трошкове транспорта за учеснике из Србије, а сами учесници би сносили трошкове смештаја. До сада је десет српских филмова добило подршку за развој.</t>
  </si>
  <si>
    <t xml:space="preserve">Чланство </t>
  </si>
  <si>
    <t>40.000 EUR</t>
  </si>
  <si>
    <t>Чланство у Европској филмској промоцији (European Film Promotion)</t>
  </si>
  <si>
    <t>ФЦС је члан Европске филмске промоције, организације која настоји да укаже и наметне европски филм на маркетима, фестивалима у свету. Чланством у ЕФП смањују се појединачни трошкови промоциjе филма у свету, посебно на маркетима у Азији и Америци.</t>
  </si>
  <si>
    <t>Годишња чланарина</t>
  </si>
  <si>
    <t>Producers on the Move (Кан)</t>
  </si>
  <si>
    <t>800 EUR</t>
  </si>
  <si>
    <t>50.000 RSD</t>
  </si>
  <si>
    <t>200  EUR</t>
  </si>
  <si>
    <t>FNE - Film New Europe Association</t>
  </si>
  <si>
    <t xml:space="preserve">FNE  Film New Europe Association jе платформа филмских професионалаца Источне, Централне Европе и Балтичке региjе. Основана jе од стране наjважниjих филмских институциjа у региjи. У оквиру асоциjациjе постоjи и webportal, коjи обавештава цео регион о актуелним дешавањима.   </t>
  </si>
  <si>
    <t>Чланство</t>
  </si>
  <si>
    <t>EFAD - чланство</t>
  </si>
  <si>
    <t>ЕФАД (Удружење директора европских филмских агенција) - окупља директоре националних филмских фондова европских земаља. 38 чланица ЕФАД-а су државни ограни или институције повезане са владом, задужене за национално финансирање аудио-визуелног сектора и са одговорношћу да саветују или регулишу све аспекте аудио-визуелне политике. ФЦС је пуноправни члан ЕФАД-а од 2019. године.</t>
  </si>
  <si>
    <t>6.000 EUR</t>
  </si>
  <si>
    <t>Награда ФЦС - Cottbus Film Festival &amp; Connecting Cottbus coproduction market</t>
  </si>
  <si>
    <t>Као резултат дугогодишње и успешне сарадње са филмски фестивалом и копродукционим маркетом у Котбусу, покренута је иницијатива да Филмски центар Србије буде покровитељ Награде публике за најбољи пројекат играног филма, коју публика додељује на основу logline-a, у оквиру посебног програма Pickastory. Осим новчаног дела награде у износу од 1.000 ЕУР, победник добија и стручне повратне информације и савете о писању и продукцији сценарија, као и прилику да то представи на наредном копродукционом маркету ”Connecting Cottbus”.</t>
  </si>
  <si>
    <t>Награда ФЦС</t>
  </si>
  <si>
    <t>Producers LINK</t>
  </si>
  <si>
    <t>Producers LINK јер посебан програм осмишљен за продуценте садржаја за младу публику. Одвија се у два модула током јесени, у Амстердаму и Варшави. Програм је намењен младим, талентованим продуцентима који су заинтересовани за продукцију садржаја за младу публику и продуценте који имају пројекат за младу публику у развоју или у фази продукције. Партнерством са организаторима програма (Young Horizons Industry &amp; Cinekid for Professionals), Филмски центар обезбеђује учешће једног талентованог продуцента из Србије који ће добити прилику да учествује у овом јединственом програму.</t>
  </si>
  <si>
    <t>1.900 EUR</t>
  </si>
  <si>
    <t>Торино филм лаб радионица 2025. - трећи део партнерских трошкова</t>
  </si>
  <si>
    <t>Партнерство (трећи део)</t>
  </si>
  <si>
    <t>7.000 EUR</t>
  </si>
  <si>
    <t>Награда ФЦС за најбољи пројекат</t>
  </si>
  <si>
    <t xml:space="preserve">Авио карта за тутора </t>
  </si>
  <si>
    <t>Трансфери до и од аеродрома за учеснике и туторе</t>
  </si>
  <si>
    <t>Хонорар тутора</t>
  </si>
  <si>
    <t>2.000 EUR</t>
  </si>
  <si>
    <t>Оброци</t>
  </si>
  <si>
    <t>15 особа х 2.500 RSD х 2 оброка х 5 дана</t>
  </si>
  <si>
    <t>Хонорар локалног координатора</t>
  </si>
  <si>
    <t>70.000 RSD</t>
  </si>
  <si>
    <t xml:space="preserve">Рентирање сале </t>
  </si>
  <si>
    <t xml:space="preserve">CHP:DOX - промоција документарних филмова </t>
  </si>
  <si>
    <t>CPH:DOX jе званично име међународног фестивала документарних филмова у Копенхагену. Ово jе наjвећи фестивал документарних филмова у Скандинавиjи, и jедан од наjутицаjниjих фестивала документарних филмова у свету. Фокус фестивала jе на независни документарни филм коjи се одликуjе иновативним приступом, као и на експерименталне и хибридне филмове. Паралелно са фестивалом се одржаваjу индустри програми: CPH FORUM, CPH Conference, CPH Academy, CPH LAB и SCIENCE FILM FORUM и други. Имајући у виду веома позитивно искуство из 2019. године, идеја је да се обнови сарадња са CPH:DOX фестивалом и у 2026. години. Концепт CPH FORUM-а је јединствен за ову врсту представљања пројеката као и  начин укључивања панелиста који служи за стварање окружења које стварно охрабрујуће делује на ауторе / продуценте који пројекат представљају.</t>
  </si>
  <si>
    <t>Aкредитацијe за учеснике</t>
  </si>
  <si>
    <t>250 EUR x 4 особе</t>
  </si>
  <si>
    <t>ОСКАР - номинациjа и подршка учешћу филма кандидата из Србиjе</t>
  </si>
  <si>
    <t xml:space="preserve">Подршка филму кандидату из Србиjе за награду Оскар за наjбољи филм ван енглеског говорног подручjа. Подразумева израду пропагандног материjала, пројекције, оглашавање у медиjима, путне трошкове представника филма и ангажовање међународног публицисте односно агенциjе за логистику и промоциjу у САД. </t>
  </si>
  <si>
    <t>Tрошкови промоције номинованог филма</t>
  </si>
  <si>
    <t>Надокнаде за 7 чланова жирија</t>
  </si>
  <si>
    <t>ТОТАЛ МЕЂУНАРОДНА</t>
  </si>
  <si>
    <t>ДОМАЋА САРАДЊA</t>
  </si>
  <si>
    <t xml:space="preserve">Радионице за документарни филм  </t>
  </si>
  <si>
    <t>Филмски центар Србиjе  и струковно удружење документариста, ДокСрбиjа организуjу два пута годишње едукативне радионице за подизање капацитета у области продукциjе документарних филмова. Радионице су фокусиране на писање и “паковање” проjеката документарних филмова, jеднако за домаће и међународне конкурсе, као и за пласман на интернационалним маркетима.</t>
  </si>
  <si>
    <t xml:space="preserve">Учешће у трошковима партнерства са ДокСрбијом - први део трошкова (за прву летњу радионицу) 620.000 а други (за јесењу) 500.000 </t>
  </si>
  <si>
    <t>Занатске радионице за неформално образовање</t>
  </si>
  <si>
    <t>Одржавање радионица за преквалификацију и дошколовавање дефицитарних кадрова у кинематографији</t>
  </si>
  <si>
    <t xml:space="preserve">Израда плана и програма три недеље радионица за занимање по секторима и предавачи </t>
  </si>
  <si>
    <t>Најам опреме потребне за реализацију радионице ( фар, кран, агрегат, расветна тела…)</t>
  </si>
  <si>
    <t xml:space="preserve">Мрежа киноприказивача </t>
  </si>
  <si>
    <t>Трошкови реализације обуке за кинооператере и развијање базе гледаности домаћих филмова</t>
  </si>
  <si>
    <t>Дигитализација и рестаурација грађе Филмског центра Србије</t>
  </si>
  <si>
    <t xml:space="preserve">Филмски центар Србије има за циљ да очува и заштити неке од најпознатијих наслова домаће кинематографије и да их учини видљивијим широј публици у одговарајућем квалитету. Филмски центар Србије завршио је попис и документацију свих материјалних добара и докумената у својим магацинима и сматрамо да би било неопходно сачувати одређене снимке и документе, од којих су већина из краја 70-их и 80-их. Такође неопходна је дигитализација Годишњака ради лакшег сналажења и проналажења материјала. </t>
  </si>
  <si>
    <t>Награда ”Марко Глушац”</t>
  </si>
  <si>
    <t xml:space="preserve">”Марко Глушац” наградa се додељује најперспективнијем млађем монтажеру дугих и кратких, играних и документарних форми.
То признање већ осму годину за редом додељује Фондација "Марко Глушац", коју су основали редитељи, продуценти, монтажери и пријатељи, људи који су сарађивали са Марком, једним од наших највећих филмских монтажера. </t>
  </si>
  <si>
    <t>Новчани износ награде добитнику</t>
  </si>
  <si>
    <t>Награда ”Небојша Поповић”</t>
  </si>
  <si>
    <t>Филмски центар Србије, Радио-телевизија Србије, Културни центар Београд, Југословенска кинотека, Отворени универзитет Суботица / Фестивал европског филма Палић, Удружење грађана „Поглед у свет“ / Фестивал ауторског филма, Фонд Б92 / Фестивал Слободна зона, Међународни фестивал документарног филма под називом „БЕЛДОКС“ и чланови породице Небојше Поповића додељује годишњу Награду ”Небојша Поповић” појединцу или групи која је својим посебним активностима и залагањем дала значајан и дуготрајан допринос промоцији и критичком промишљању филмске уметности и културе, посебно домаћег филма.</t>
  </si>
  <si>
    <t>180.000 RSD.</t>
  </si>
  <si>
    <t>Уметнички обликовани предмет</t>
  </si>
  <si>
    <t>40.000 RSD.</t>
  </si>
  <si>
    <t>Награда младе публике - Young Audience Award European film academy</t>
  </si>
  <si>
    <t>Трошкови реализације програма - Награда младе публике</t>
  </si>
  <si>
    <t xml:space="preserve">Подршка домаћим филмским фестивалима и "industry" сектору </t>
  </si>
  <si>
    <t xml:space="preserve">С обзиром на све већи број домаћих фестивала, а са циљем промоције домаћег филма и усавршавања филмских радника, Филмски центар Србије опредељује подршку домаћим филмским фестивалима за потребе организације, одржавање стручних радионица и предавања, доделу награда, доласка предавача и гостију фестивала. Имајући у виду да је у данашње време такозвани "industry" сектор неодвојиви део сваког важнијег филмског фестивала, идеја је да се  развој овог сектора подржи како у оперативном, тако и у финансијском смислу. ФЦС би се искључиво усмерио на подршку организацији копродукцијских маркета, креативних и едукативних радионица, предавања, професионалних састанака и умрежавања. Постојање квалитеног "industry" сектора, значи присуство већег броја филмских професионалаца из Европе и света и самим тим се пружа могућност домаћим филмским професионалцима за бољим и квалитетнијим умрежавањем и отварају се врата за нове копродукције, европску или светску дистрибуцију, учешће на међународним фестивалима што све наравно продразумева промоцију српског филма и филмске индустрије. </t>
  </si>
  <si>
    <t xml:space="preserve">Подршка организацији </t>
  </si>
  <si>
    <t xml:space="preserve">ТОТАЛ </t>
  </si>
  <si>
    <t>Пројекат Интеракција подразумева одржавање студентског филмског кампа, фестивал кратког документарног филма, радионице за документарни филм и програма Meet2talk. Овај програм  је намењен студентима филмских академија и подразумева продукцију кратких документрних филмова. Програм се реализује од 2006. године у циљу промовисања кратког документарног филма међу младима – студентима филмских академија, као и подстицања њиховог умрежавања и размене знања и искуства кроз рад у мултинационалним екипама.</t>
  </si>
  <si>
    <t xml:space="preserve">Трошкови организације </t>
  </si>
  <si>
    <t>TОТАЛ ДОМАЋА САРАДЊА</t>
  </si>
  <si>
    <t>MEDIA ДЕСК СРБИЈА</t>
  </si>
  <si>
    <t>Циљ MEDIA деска јесте да пружи подршку представницима аудиовизуелног, медијског и културног сектора који желе да обезбеде учешће у потпрограму MEDIA. Потпрограм MEDIA у оквиру програма Кретивна Европа подстиче развој европског аудиовизуелног и мултимедијалног сектора, дајући подршку: развоју, дистрибуцији и промоцији европских играних, анимираних и документарних филмова и телевизијских серија, развоју и промоцији нових медијских садржаја, стручном усавршавању филмских професионалаца, развоју нових технологија и платформи за дистрибуцију аудиовизуелног садржаја, филмским фестивалима и развоју публике. MEDIA деск пружа подршку и организацијама из културе и области информисања на позивима које расписује Креативна Европа у Кроссекторском потпрограму (иновативне лабараторије, медијска писменост, медијска партнерства и др.)
 Кроз консултације, јавне догађаје и едукативне и мрежне активности које организује, MEDIA деск информише о могућностима које пружа MEDIA потпрограм и пружа подршку и савете за конкурисање. Сви догађаји који се планирају у раду деска током 2026. године треба да допринесу развоју аудиовизуелног сектора у Србији са једне стране и промоцији потпрограма MEDIA са друге. Задатак MEDIA деска јесте да промовише потпрограм MEDIA као јединствену прилику за финансиранје развоја аудиовизуелног сектора у земљама чланицама кроз организацију сопствених иницијатива као што су семинари, радионице, инфо дани и тренинзи, промовише, подржава и чествује уи прекограничној сарадњи, али и да учествује у догађајима и активностима који су на међународном нивоу организовани од стране EACEA и DG CNECT .
 Циљеви MEDIA потпрограма су:
 - Јачање европског аудиовизуелног и мултимедијалног сектора наглашавајући европски идентитет, наслеђе и културну разноликост;
 - Већа присутност европских аудиовизуелних дела на међународном тржишту;
 - Јачање и подстицање иновативности и конкурентности европског аудиовизуелног сектора.
 Финансирање је доступно у неколико категорија које обухватају: подршку продуцентима за развој иновативних и конкурентних пројеката из области филма, ТВ програма и видео игара, подршку дистрибуцији европских аудиовизуелних дела, развој публике и професионално усавршавање и умрежавање.
 У 2026. години MEDIA деск Србије планира да, поред уобичајних активности које подразумевају континуирану пружање информација о MEDIA потпрограму и конкурсима који постоје у оквиру MEDIA потпрограма и асистирања у развоју апликација, организује и инфо дане, едукативне програме и семинаре који ће бити фокусирани на специфичне проблеме филмске индустрије и аудиовизуелног сектора у Србији и учествује на домаћим, регионалним и интернационалним филмским фестивалима.</t>
  </si>
  <si>
    <t>Хонорари</t>
  </si>
  <si>
    <t>Хонорар преводиоца за портал Медиа Деска</t>
  </si>
  <si>
    <t>10.000РСД x 7 месеци</t>
  </si>
  <si>
    <t>Хонорар асистента на пројекту Медиа Деска</t>
  </si>
  <si>
    <t>133.000РСД х 6 месеци</t>
  </si>
  <si>
    <t>Дизајн визуалних материјала за потребе промоције</t>
  </si>
  <si>
    <t>80000 РСД х 1 месец</t>
  </si>
  <si>
    <t>Хонорар администратора портала Медиа Деска</t>
  </si>
  <si>
    <t>Хонорар програмера унапређење нови модули - секција Медиа Деска</t>
  </si>
  <si>
    <t>23.000 РСД x 6 месецa</t>
  </si>
  <si>
    <t>Регионална и прекогранична сарадња са другим десковима</t>
  </si>
  <si>
    <t>Организација 2 догађаји у сарадњи са регионалним МЕДИА Деск-овима</t>
  </si>
  <si>
    <t>Организација промотивног догађаја</t>
  </si>
  <si>
    <t>60.000 RSD x 2 промотивна догађаја</t>
  </si>
  <si>
    <t>Едукативни догађаји</t>
  </si>
  <si>
    <t>Организација семинара и радионице са међународним туторима на теме које су у фокусу Креативне Европе: ѕелена агенда, вештачка интелигенција, маркетинг, развој публике, рода равноправност и друго.</t>
  </si>
  <si>
    <t>Путни трошкови предавача и учесника програма</t>
  </si>
  <si>
    <t>2 авио карте 45.000 RSD х превоз у земљи 2 х комбијем 10 особа</t>
  </si>
  <si>
    <t>Хонорари предавача</t>
  </si>
  <si>
    <t>40.000 RSD х 6 особе</t>
  </si>
  <si>
    <t>Пријем - мрежни догађаји Медиа деска</t>
  </si>
  <si>
    <t>Брошуре MEDIA деска</t>
  </si>
  <si>
    <t>Издавање брошуре MEDIA деска Србије: годишња бошура са кратким прегледом свих конкурса који постоје у оквиру MEDIA потпрограма и успешних пројеката из Србије који су подржани од стране MEDIA потпрограма.</t>
  </si>
  <si>
    <t>Превод</t>
  </si>
  <si>
    <t>75.000 RSD</t>
  </si>
  <si>
    <t>Лектура и коректура</t>
  </si>
  <si>
    <t>40.000 RSD</t>
  </si>
  <si>
    <t>Дизајн и прелом</t>
  </si>
  <si>
    <t>80.000 RSD</t>
  </si>
  <si>
    <t>Промоција и представљање MEDIA деска</t>
  </si>
  <si>
    <t>Промоција MEDIA деска обухвата неколико активности: израда промотивних материјала, рекламирање MEDIA потпрограма и MEDIA деска у каталозима домаћих филмских фестивала, рекламирање, организација 3 промотивна догађаја</t>
  </si>
  <si>
    <t>Промотивни материјал (торбе, свеске, оловке, цегери, gadgets)</t>
  </si>
  <si>
    <t>250.000 RSD</t>
  </si>
  <si>
    <t>Рекламирање у каталозима филмских фестивала, платформама</t>
  </si>
  <si>
    <t>60.000. RSD</t>
  </si>
  <si>
    <t>3 промотивна догађаја на домаћим фестивалима и програмима</t>
  </si>
  <si>
    <t>Кампања повећања видљивости програма Креативна Европа (интервјуи, видео клип)</t>
  </si>
  <si>
    <t>ТОТАЛ  MEDIA ДЕСК СРБИЈА</t>
  </si>
  <si>
    <t>Ауторски хонорар</t>
  </si>
  <si>
    <t>Лекутра/коректура</t>
  </si>
  <si>
    <t>Прелом и дизајн</t>
  </si>
  <si>
    <t>2000ЕУР</t>
  </si>
  <si>
    <t>Израда индекса</t>
  </si>
  <si>
    <t>500ЕУР</t>
  </si>
  <si>
    <t>Штампа</t>
  </si>
  <si>
    <t>Тираж: 300</t>
  </si>
  <si>
    <t>2500ЕУР</t>
  </si>
  <si>
    <t>Лектура/коректура</t>
  </si>
  <si>
    <t>Израда индеска</t>
  </si>
  <si>
    <t>Тираж: 500</t>
  </si>
  <si>
    <t>Лекутра-коректура</t>
  </si>
  <si>
    <t xml:space="preserve">Дизајн и трошкови прелома </t>
  </si>
  <si>
    <t>1000ЕУР</t>
  </si>
  <si>
    <t>Ауторска права</t>
  </si>
  <si>
    <t>Хонорар преводиоца</t>
  </si>
  <si>
    <t xml:space="preserve">Тираж: 500 </t>
  </si>
  <si>
    <t xml:space="preserve">Тираж: 300 </t>
  </si>
  <si>
    <t>Закуп штанда</t>
  </si>
  <si>
    <t>Хонорари за ангажоване продавце</t>
  </si>
  <si>
    <t xml:space="preserve">Трошкови слања књига (транспорт књига до Сајма и натраг) </t>
  </si>
  <si>
    <t>Технички додаци уз штанд и акредитације</t>
  </si>
  <si>
    <t>Огласи у новинама и на порталима</t>
  </si>
  <si>
    <t>Фонд за помоћ другим издавачима</t>
  </si>
  <si>
    <t>Подршка (Филмски центар Србије ко-издавач)</t>
  </si>
  <si>
    <t>ТОТАЛ ИЗДАВАШТВО</t>
  </si>
  <si>
    <t xml:space="preserve">ТОТАЛ ПРОГРАМИ </t>
  </si>
  <si>
    <t>ЗАХТЕВ УСТАНОВЕ / средства из БУЏЕТА</t>
  </si>
  <si>
    <t>ОПИС</t>
  </si>
  <si>
    <t>РЕДОВНА ДЕЛАТНОСТ</t>
  </si>
  <si>
    <t>Зараде</t>
  </si>
  <si>
    <t>Плате, додаци и накнаде запослених</t>
  </si>
  <si>
    <t xml:space="preserve">Социјални доприноси </t>
  </si>
  <si>
    <t>Допринос за пензијско и инвалидско осигурање</t>
  </si>
  <si>
    <t>Допринос за здравствено осигурање</t>
  </si>
  <si>
    <t>Накнаде трошкова за запослене</t>
  </si>
  <si>
    <t xml:space="preserve">Награде запосленима </t>
  </si>
  <si>
    <t xml:space="preserve">Награде запосленима и ост.посеб.расходи </t>
  </si>
  <si>
    <t>Стални трошкови</t>
  </si>
  <si>
    <t>Трошкови платног промета и банкарских услуга</t>
  </si>
  <si>
    <t>Енергетске услуге</t>
  </si>
  <si>
    <t>Комуналне услуге</t>
  </si>
  <si>
    <t>Услуге комуникација</t>
  </si>
  <si>
    <t>Трошкови осигурања</t>
  </si>
  <si>
    <t>Закуп имовине и опреме</t>
  </si>
  <si>
    <t>Остали трошкови</t>
  </si>
  <si>
    <t>Трошкови  путовања</t>
  </si>
  <si>
    <t>Трошкови службених путовања у земљи</t>
  </si>
  <si>
    <t>Трошкови службених путовања  у иностранству</t>
  </si>
  <si>
    <t>Трошкови путовања у оквиру редовног рада</t>
  </si>
  <si>
    <t>Услуге по уговору</t>
  </si>
  <si>
    <t>Административне услуге</t>
  </si>
  <si>
    <t>Компјутерске услуге</t>
  </si>
  <si>
    <t>Услуге образовања и усавршавања запослених</t>
  </si>
  <si>
    <t>Услуге информисања</t>
  </si>
  <si>
    <t>Стручне услуге</t>
  </si>
  <si>
    <t>Остале опште услуге</t>
  </si>
  <si>
    <t>Специјализоване услуге</t>
  </si>
  <si>
    <t>Текуће поправке и одржавање</t>
  </si>
  <si>
    <t>Текуће поправке и одржавање зграда и објеката</t>
  </si>
  <si>
    <t>Текуће поправке и одржавање зграда опреме</t>
  </si>
  <si>
    <t>Материјал</t>
  </si>
  <si>
    <t>Административни материјал</t>
  </si>
  <si>
    <t>Материјали за образовање и усавршавање заопослених</t>
  </si>
  <si>
    <t>Материјали за одржавање хигијене и угоститељство</t>
  </si>
  <si>
    <t>Порези таске и казне</t>
  </si>
  <si>
    <t>Обавезне таксе</t>
  </si>
  <si>
    <t>Зграде и грађевински објекти</t>
  </si>
  <si>
    <t>Капитално одржавање зграда и објеката</t>
  </si>
  <si>
    <t>Машине и опрема</t>
  </si>
  <si>
    <t>Опрема за саобраћај</t>
  </si>
  <si>
    <t>Опрема за образовање, науку, културу и спорт</t>
  </si>
  <si>
    <t>ТОТАЛ РЕДОВНА ДЕЛАТНОСТ И ИНВЕСТИЦИЈЕ</t>
  </si>
  <si>
    <t xml:space="preserve">МЕЂУНАРОДНА САРАДЊА И ПРОМОЦИЈА </t>
  </si>
  <si>
    <t>MEDIA</t>
  </si>
  <si>
    <t>ПРИКАЗ ПЛАНИРАНИХ РАСХОДА ФЦС У 2026.</t>
  </si>
  <si>
    <t>150.000 RSD.</t>
  </si>
  <si>
    <t>44.500 РСД x 12 месецa</t>
  </si>
  <si>
    <t xml:space="preserve">ИЗДАВАШТВО - план и програм 2026. </t>
  </si>
  <si>
    <t>Тираж: 1000 страна</t>
  </si>
  <si>
    <t>Тираж:  500</t>
  </si>
  <si>
    <t>КРИСТОФЕР ВОГЛЕР: ПИШЧЕВО ПУТОВАЊЕ - ТРЕЋЕ ИЗДАЊЕ</t>
  </si>
  <si>
    <t>БРАНКО ВУЧИЋЕВИЋ: ЦЕЛОКУПНА ДЕЛА: 7. ЗАВРШНИ ТОМ</t>
  </si>
  <si>
    <t>БЕОГРАДСКИ МЕЂУНАРОДНИ САЈАМ КЊИГА 2026.</t>
  </si>
  <si>
    <t>АНТОАН ДЕ БЕК: ЕРИК РОМЕР - БИОГРАФИЈА</t>
  </si>
  <si>
    <t>НИКОЛЕТА ДОЈЧИНОВИЋ: ИСТОРИЈА СРПСКЕ ФИЛМСКЕ МУЗИКЕ  ХХI ВЕКА: 2001-2025</t>
  </si>
  <si>
    <t>Медицинске услуге</t>
  </si>
  <si>
    <t>45.000 RSD x 3 промотивна догађаја</t>
  </si>
  <si>
    <t>ФИЛМОГРАФ</t>
  </si>
  <si>
    <t>Тираж: (3х200)</t>
  </si>
  <si>
    <t>Лектура-коректура</t>
  </si>
  <si>
    <t>800ЕУР</t>
  </si>
  <si>
    <t>Скенирање материјала</t>
  </si>
  <si>
    <t>3000ЕУР</t>
  </si>
  <si>
    <t>600ЕУР</t>
  </si>
  <si>
    <t>Тираж:200</t>
  </si>
  <si>
    <t>4.500ЕУР</t>
  </si>
  <si>
    <t>1.800ЕУР</t>
  </si>
  <si>
    <t>1.300ЕУР</t>
  </si>
  <si>
    <t>5.500ЕУР</t>
  </si>
  <si>
    <t>2700ЕУР</t>
  </si>
  <si>
    <t>900ЕУР</t>
  </si>
  <si>
    <t>3850ЕУР</t>
  </si>
  <si>
    <t>1600ЕУР</t>
  </si>
  <si>
    <t>250ЕУР</t>
  </si>
  <si>
    <t>1650ЕУР</t>
  </si>
  <si>
    <t>2860ЕУР</t>
  </si>
  <si>
    <t>2750ЕУР</t>
  </si>
  <si>
    <t>1080ЕУР</t>
  </si>
  <si>
    <t>4400ЕУР</t>
  </si>
  <si>
    <t>5670ЕУР</t>
  </si>
  <si>
    <t>1980ЕУР</t>
  </si>
  <si>
    <t>1300ЕУР</t>
  </si>
  <si>
    <t>1500ЕУР</t>
  </si>
  <si>
    <t>700ЕУР</t>
  </si>
  <si>
    <t>1.900.000РСД</t>
  </si>
  <si>
    <t>Интеракција 2026.</t>
  </si>
  <si>
    <t>РОБЕРТ МЕКИ: ПРИЧА  - ТРЕЋЕ ИЗДАЊЕ</t>
  </si>
  <si>
    <t>Путни трошкови - 4 авионске карте</t>
  </si>
  <si>
    <t>15 EUR х 7 дана x 4 особе</t>
  </si>
  <si>
    <t>30.000 RSD x 1 особа</t>
  </si>
  <si>
    <t>15 EUR x 4 дана x 2 особе</t>
  </si>
  <si>
    <t>2000 EUR</t>
  </si>
  <si>
    <t>Путни трошкови (1 представника ФЦС и представник документариста + полазник академије)</t>
  </si>
  <si>
    <t>50.000 RSD x 3 особа</t>
  </si>
  <si>
    <t>250 EUR x 3 особа x 3 ноћења</t>
  </si>
  <si>
    <t>На иницијативу Словеначког филмског центра основан је нови међународни програм  “ReActing as a Star” посвећен подстицању умрежавању филмских и аудиовизуелних глумаца у региону и повећање њиховог присуства у еврпској филмској индустрији. Прво издање овог програма одржано у оквиру другог издања Krafft Actors Film у оквиру другог издања Фестивала у Крању (Словенија). Како би повећао видљивост глумаца из региона и проширо могућност њиховог учешћа у међународној филмској индустрији, Словеначки филмски центар, у сарадњи са Сарајево филм фестивалом, Међународном мрежом Casting Directors Network (ICDN) и партнерским филским центрима из Србије, Хрватске, Северне Македоније и Црне Горе, успоставио је професионалну платформу у којој су учествовали глумци из региона. Током тродневне радионице глумци раде на развијању својих вештина и успостављању контакта са casting директорима, као и на размени искустава са колегама из региона.</t>
  </si>
  <si>
    <t>60.000 RSD x 4 особа</t>
  </si>
  <si>
    <t>Превоз 2 представника ФЦС-а</t>
  </si>
  <si>
    <t>15 EUR x 4 дана  x 2 особе</t>
  </si>
  <si>
    <t>15 EUR x 1 особа x 4 дана</t>
  </si>
  <si>
    <t>Moving Scope - партнерство</t>
  </si>
  <si>
    <t>Филмски центар Србије је у марту 2025. године потписао уговор о партнерству са компанијом Moving Scope, која управља платформом Festival Scope Pro. Циљ сарадње је повећање видљивости српских филмова и отварање нових могућности за њихову међународну дистрибуцију. У складу са уговором, ФЦС и Moving Scope заједнички бирају до 10 филмова који ће бити представљени на платформи и обезбеђују потребне сагласности носилаца права. Платформа Festival Scope Pro омогућава сигуран приступ филмовима на захтев (on demand) за одобрене кориснике. Платформу већ користе бројне националне филмске институције, а њено коришћење омогућава промоцију ФЦС-а и српских филмова међу међународним филмским професионалцима.</t>
  </si>
  <si>
    <t>3.530 EUR</t>
  </si>
  <si>
    <t>3.500 EUR</t>
  </si>
  <si>
    <t>3 особе х 5 ноћења х 180 EUR</t>
  </si>
  <si>
    <t>15 EUR х 3 особе х 6 дана</t>
  </si>
  <si>
    <t>Путни трошкови - 3 авионскe картe</t>
  </si>
  <si>
    <t>32.000 RSD x 1 члана ФЦС</t>
  </si>
  <si>
    <t>150 x 1 особа х 3 дана</t>
  </si>
  <si>
    <t>50.000 РСД х 3 особе</t>
  </si>
  <si>
    <t>8.000 EUR</t>
  </si>
  <si>
    <t>Смештај за тутора</t>
  </si>
  <si>
    <t xml:space="preserve"> 1 особа x 4 ноћења  x 120 EUR</t>
  </si>
  <si>
    <t>135.000 RSD</t>
  </si>
  <si>
    <t>1667ЕУР</t>
  </si>
  <si>
    <t>516ЕУР</t>
  </si>
  <si>
    <t xml:space="preserve">Суфинансирање производње домаћих дугометражних играних филмова  </t>
  </si>
  <si>
    <t>Администрирање конкурса (хонорари чланова комисија и оглашавање)</t>
  </si>
  <si>
    <t>Обележавање државних празника и манифестација (у сарадњи са установом културе Државни аудиовизуелни архив Републике Србије Југословенска кинотека)</t>
  </si>
  <si>
    <t>Видовдан (28. јун 2026.)</t>
  </si>
  <si>
    <t>Дан заставе, слободе и српског јединства (15. септембар 2026.)</t>
  </si>
  <si>
    <t>Манифестација Дани Србије у Српској (12. октобар 2026.)</t>
  </si>
  <si>
    <t>Сретење (15. фебруар 2026 - ФЦС је учествовао у реализацији трошкова организације 156.000,00 РСД).</t>
  </si>
  <si>
    <t>СЛОБОДАН ШИЈАН: СОКАЦИМА Б ФИЛМА</t>
  </si>
  <si>
    <t>САЛИ САЛИМИ: ТЕЛО И ФИЛМ</t>
  </si>
  <si>
    <t>По угледу на обележен државни празник Сретење у Југословенској кинотеци, уприличен коктел и пројекцијама 2 филма, Филмски центар Србије намерава и друга два државна празника да обележи на примерен начин. У погледу манифестације Дани Србије у Српској, Филмски центар Србије ће у складу са својим могућностима и потребама манифестације обезбедити приказивање филмова и пртећег материјала према плану организатора.</t>
  </si>
  <si>
    <t>4800ЕУР</t>
  </si>
  <si>
    <t>1360ЕУР</t>
  </si>
  <si>
    <t>650ЕУР</t>
  </si>
  <si>
    <t>430ЕУР</t>
  </si>
  <si>
    <t>АЛЕКСАНДАР ЕРДЕЉАНОВИЋ: БОТОРИЋ</t>
  </si>
  <si>
    <t>2080ЕУР</t>
  </si>
  <si>
    <t>330ЕУР</t>
  </si>
  <si>
    <t>160ЕУР</t>
  </si>
  <si>
    <t>1330ЕУР</t>
  </si>
  <si>
    <t>Подршка Националном фестивалу филма и телевизије (НАФФИТ)</t>
  </si>
  <si>
    <t>ЕСТЕТИКА ФИЛМА - група аутора (коиздаваштво са издавачком кућом Clio)</t>
  </si>
  <si>
    <t xml:space="preserve">ТОМИСЛАВ ГАВРИЋ: ФИЛМСКА ЕНЦИКЛОПЕДИЈА </t>
  </si>
  <si>
    <t>Национални фестивал филма и телевизије (НАФФИТ) основан је одлуком Владе Републике Србије као фестивал од националног значаја, са циљем да вреднује актуелну српску филмску и телевизијску продукцију. Прво такмичарско издање фестивала одржано је од 3. до 7. септембра 2025. на Златибору и окупило је домаће и стране ауторе, уз пратеће едукативне и културне програме. Друго издање фестивала планирано је за 2026. годину</t>
  </si>
  <si>
    <t>Суфинансирање производње домаћих краткометражних играних филмова</t>
  </si>
  <si>
    <t>Суфинансирање производње краткометражних анимираних филмова</t>
  </si>
  <si>
    <t>Подршка реализацији програма фестивала</t>
  </si>
  <si>
    <t>Радионица за младе таленте и ауторе</t>
  </si>
  <si>
    <t>ТОТАЛ ПРОГРАМИ И ИНВЕСТИЦИЈЕ</t>
  </si>
  <si>
    <t>ИНВЕСТИЦИЈЕ (МАШИНЕ И ОПРЕМА)</t>
  </si>
  <si>
    <t>Торино филм лаб представља међународне стручне радионице које пружају јединствену прилику за подстицање и подршку креативности међу новим талентима. Филмски центар Србиjе планира да у партнерству са Торино филм лабом, током априла 2026. године, организује у Србији  једну од три годишње сесије ScriptLab радионице за развој сценарија. Партнерством са Торино филм лабом, Србији је гарантовано учешће најмање једног продуцента из Србије на све три ScriptLab сесије. Осим тога, у оквиру партнерства Торино филм лаб ће организовати посебну радионицу намењену развоју до пет српских играних филмских пројеката у фази тритмента, која ће се одржати паралелно са сесијом ScriptLab радионице и пружити прилику за умрежавање са учесницима ScriptLab-а. Сагласно уговору сачињеном између организатора Торино филм лаб-а и Филмског центра Србије, партнерски допринос од 40.000 ЕУР биће исплаћен у три рате, током 2024, 2025. и 2026. године.</t>
  </si>
  <si>
    <t xml:space="preserve">Пројекат који је Европска филмска академија (ЕФА) лансирала 2011. а који је први пут остварен 2012. у шест европских градова, у коме је учествоваво и ФЦС својеврстан је образовно васпитни полигон за привлачење најмлађих филму, уметности и забави. ФЦС са Филмским фестивалом Слободна зона организуjе оваj целодневни програм у новембру 2026. </t>
  </si>
  <si>
    <t>Берлинале је уз Фестивал у Кану и Венецији најзначајнији филмски фестивал на свету. Маркет Берлинског фестивала jе циљ и циљана група за све произвођаче, купце и промотере филмова. С обзиром на значаj представљања у Берлину и чињеницу да jе део трошкова покривен плаћањима у претходној години по моделу Early Bird, током јануара 2026. треба платити заостале обавезе за организациjу учешћа на Маркету 2026, а током септембра 2026. треба платити обавезе за организациjу учешћа на Маркету 2027.</t>
  </si>
  <si>
    <t>Филмски центар Србије подстакао је мале приказиваче да се удруже у независну биоскопску мрежу како би заједнички развијали филмску културу широм Србије. У 2026. ФЦС жели да учествује у даљем ширењу независне биоскопске мреже и професионалном усавршавању  кинооператера у независној биоскопској мрежи, што је логичан наставак дигитализацији биоскопа широм Србије.</t>
  </si>
  <si>
    <t xml:space="preserve">МЕДИА деск Србије у сарадњи са Филмским центром Србије а у складу са препознатим потребама младих аутора, осмислиће и предложити концепт радионице директору Филмског центра Србије, који ће даље развијати по потреби и са другим МЕДИА десковима из региона. Ова радионица је осмишљена као програм професионалног развоја, намењен унапређењу креативних пројеката и јачању капацитета аутора кроз менторски рад и стручно вођење.
Програм подразумева вишедневни менторски рад са искусним стручњацима, комбинујући онлајн сесије и завршну фазу уживо, током које учесници представљају развијене пројекте и размењују искуства са професионалцима из индустрије. Циљ радионице је да подржи ауторе у развоју њиховог аутентичног израза, унапреди квалитет пројеката и омогући њихову даљу промоцију и позиционирање на међународној сцени. </t>
  </si>
  <si>
    <t xml:space="preserve">Филмски центар Србије током 2026. године намерава да распише конкурсе у 5 конкурсних категорија. Позиција Репрограмирање дуговања из претходних година, предвиђа исплату дела дуговања по конкурсима из ранијих година. . </t>
  </si>
  <si>
    <t>ГОРАН ГОЦИЋ: ЦРНИ ТАЛАС (коиздаваштво са издавачком кућом Агапе)</t>
  </si>
  <si>
    <t>У Београду, 14.05.2026.</t>
  </si>
  <si>
    <t>Весна Прица, по овлашћењу в.д. директора Јакова Петровића
бр. 03-1638 од 07.11.2025. године</t>
  </si>
  <si>
    <t>ИЗМЕНЕ ПЛАНА И ПРОГРАМА ФЦС ЗА 2026. ГОДИНУ - АНЕКС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</si>
</sst>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2"/>
      <color theme="1"/>
      <name val="Calibri"/>
      <scheme val="minor"/>
    </font>
    <font>
      <sz val="11"/>
      <color rgb="FF9C0006"/>
      <name val="Calibri"/>
      <family val="2"/>
      <scheme val="minor"/>
    </font>
    <font>
      <sz val="8"/>
      <name val="Calibri"/>
      <family val="2"/>
      <scheme val="minor"/>
    </font>
    <font>
      <sz val="14"/>
      <name val="Times New Roman"/>
      <family val="1"/>
      <charset val="238"/>
    </font>
    <font>
      <b/>
      <sz val="14"/>
      <color theme="1"/>
      <name val="Times New Roman"/>
      <family val="1"/>
      <charset val="238"/>
    </font>
    <font>
      <sz val="14"/>
      <color theme="1"/>
      <name val="Times New Roman"/>
      <family val="1"/>
      <charset val="238"/>
    </font>
    <font>
      <sz val="14"/>
      <color rgb="FFFF0000"/>
      <name val="Times New Roman"/>
      <family val="1"/>
      <charset val="238"/>
    </font>
    <font>
      <b/>
      <sz val="14"/>
      <color theme="1"/>
      <name val="Times New Roman"/>
      <family val="1"/>
    </font>
    <font>
      <sz val="14"/>
      <color theme="1"/>
      <name val="Times New Roman"/>
      <family val="1"/>
    </font>
    <font>
      <b/>
      <sz val="14"/>
      <color rgb="FFFF0000"/>
      <name val="Times New Roman"/>
      <family val="1"/>
    </font>
    <font>
      <sz val="10"/>
      <name val="Arial"/>
      <family val="2"/>
      <charset val="204"/>
    </font>
    <font>
      <sz val="16"/>
      <name val="Times New Roman"/>
      <family val="1"/>
      <charset val="238"/>
    </font>
    <font>
      <b/>
      <sz val="16"/>
      <name val="Times New Roman"/>
      <family val="1"/>
      <charset val="238"/>
    </font>
  </fonts>
  <fills count="26">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BFBFBF"/>
        <bgColor rgb="FFBFBFBF"/>
      </patternFill>
    </fill>
    <fill>
      <patternFill patternType="solid">
        <fgColor theme="0"/>
        <bgColor theme="0"/>
      </patternFill>
    </fill>
    <fill>
      <patternFill patternType="solid">
        <fgColor rgb="FF7F7F7F"/>
        <bgColor rgb="FF7F7F7F"/>
      </patternFill>
    </fill>
    <fill>
      <patternFill patternType="solid">
        <fgColor rgb="FFFFFFFF"/>
        <bgColor rgb="FFFFFFFF"/>
      </patternFill>
    </fill>
    <fill>
      <patternFill patternType="solid">
        <fgColor rgb="FFFFC7CE"/>
      </patternFill>
    </fill>
    <fill>
      <patternFill patternType="solid">
        <fgColor theme="0"/>
        <bgColor indexed="64"/>
      </patternFill>
    </fill>
    <fill>
      <patternFill patternType="solid">
        <fgColor theme="0" tint="-0.14999847407452621"/>
        <bgColor indexed="64"/>
      </patternFill>
    </fill>
    <fill>
      <patternFill patternType="solid">
        <fgColor theme="0"/>
        <bgColor rgb="FFFFFFFF"/>
      </patternFill>
    </fill>
    <fill>
      <patternFill patternType="solid">
        <fgColor theme="0"/>
        <bgColor rgb="FFBFBFBF"/>
      </patternFill>
    </fill>
    <fill>
      <patternFill patternType="solid">
        <fgColor theme="0" tint="-0.14999847407452621"/>
        <bgColor rgb="FFC0C0C0"/>
      </patternFill>
    </fill>
    <fill>
      <patternFill patternType="solid">
        <fgColor theme="0" tint="-0.14999847407452621"/>
        <bgColor rgb="FFBFBFBF"/>
      </patternFill>
    </fill>
    <fill>
      <patternFill patternType="solid">
        <fgColor theme="0" tint="-0.14999847407452621"/>
        <bgColor theme="0"/>
      </patternFill>
    </fill>
    <fill>
      <patternFill patternType="solid">
        <fgColor theme="0" tint="-0.499984740745262"/>
        <bgColor rgb="FF7F7F7F"/>
      </patternFill>
    </fill>
    <fill>
      <patternFill patternType="solid">
        <fgColor theme="0" tint="-0.499984740745262"/>
        <bgColor indexed="64"/>
      </patternFill>
    </fill>
    <fill>
      <patternFill patternType="solid">
        <fgColor theme="2" tint="-0.14999847407452621"/>
        <bgColor indexed="64"/>
      </patternFill>
    </fill>
    <fill>
      <patternFill patternType="solid">
        <fgColor theme="0"/>
        <bgColor rgb="FFC0C0C0"/>
      </patternFill>
    </fill>
    <fill>
      <patternFill patternType="solid">
        <fgColor theme="0"/>
        <bgColor rgb="FF7F7F7F"/>
      </patternFill>
    </fill>
    <fill>
      <patternFill patternType="solid">
        <fgColor theme="0" tint="-0.14999847407452621"/>
        <bgColor rgb="FF7F7F7F"/>
      </patternFill>
    </fill>
    <fill>
      <patternFill patternType="solid">
        <fgColor theme="0" tint="-0.499984740745262"/>
        <bgColor rgb="FFFFFFFF"/>
      </patternFill>
    </fill>
    <fill>
      <patternFill patternType="solid">
        <fgColor theme="0" tint="-0.499984740745262"/>
        <bgColor theme="0"/>
      </patternFill>
    </fill>
    <fill>
      <patternFill patternType="solid">
        <fgColor theme="0" tint="-0.249977111117893"/>
        <bgColor indexed="64"/>
      </patternFill>
    </fill>
    <fill>
      <patternFill patternType="solid">
        <fgColor theme="0" tint="-0.249977111117893"/>
        <bgColor theme="0"/>
      </patternFill>
    </fill>
  </fills>
  <borders count="6">
    <border>
      <left/>
      <right/>
      <top/>
      <bottom/>
      <diagonal/>
    </border>
    <border>
      <left/>
      <right/>
      <top/>
      <bottom/>
      <diagonal/>
    </border>
    <border>
      <left/>
      <right/>
      <top/>
      <bottom/>
      <diagonal/>
    </border>
    <border>
      <left/>
      <right/>
      <top style="hair">
        <color auto="1"/>
      </top>
      <bottom style="hair">
        <color auto="1"/>
      </bottom>
      <diagonal/>
    </border>
    <border>
      <left/>
      <right/>
      <top/>
      <bottom style="hair">
        <color auto="1"/>
      </bottom>
      <diagonal/>
    </border>
    <border>
      <left/>
      <right/>
      <top style="hair">
        <color auto="1"/>
      </top>
      <bottom/>
      <diagonal/>
    </border>
  </borders>
  <cellStyleXfs count="3">
    <xf numFmtId="0" fontId="0" fillId="0" borderId="0"/>
    <xf numFmtId="0" fontId="1" fillId="8" borderId="0" applyNumberFormat="0" applyBorder="0" applyAlignment="0" applyProtection="0"/>
    <xf numFmtId="0" fontId="10" fillId="0" borderId="2"/>
  </cellStyleXfs>
  <cellXfs count="202">
    <xf numFmtId="0" fontId="0" fillId="0" borderId="0" xfId="0"/>
    <xf numFmtId="0" fontId="5" fillId="0" borderId="0" xfId="0" applyFont="1"/>
    <xf numFmtId="0" fontId="6" fillId="0" borderId="0" xfId="0" applyFont="1"/>
    <xf numFmtId="0" fontId="4" fillId="0" borderId="0" xfId="0" applyFont="1"/>
    <xf numFmtId="0" fontId="5" fillId="5" borderId="1" xfId="0" applyFont="1" applyFill="1" applyBorder="1"/>
    <xf numFmtId="0" fontId="6" fillId="5" borderId="1" xfId="0" applyFont="1" applyFill="1" applyBorder="1"/>
    <xf numFmtId="0" fontId="5" fillId="5" borderId="1" xfId="0" applyFont="1" applyFill="1" applyBorder="1" applyAlignment="1">
      <alignment vertical="center"/>
    </xf>
    <xf numFmtId="0" fontId="5" fillId="0" borderId="0" xfId="0" applyFont="1" applyAlignment="1">
      <alignment vertical="center"/>
    </xf>
    <xf numFmtId="0" fontId="5" fillId="5" borderId="2" xfId="0" applyFont="1" applyFill="1" applyBorder="1"/>
    <xf numFmtId="0" fontId="3" fillId="9" borderId="0" xfId="0" applyFont="1" applyFill="1"/>
    <xf numFmtId="0" fontId="5" fillId="12" borderId="1" xfId="0" applyFont="1" applyFill="1" applyBorder="1"/>
    <xf numFmtId="0" fontId="5" fillId="9" borderId="0" xfId="0" applyFont="1" applyFill="1"/>
    <xf numFmtId="0" fontId="5" fillId="5" borderId="2" xfId="0" applyFont="1" applyFill="1" applyBorder="1" applyAlignment="1">
      <alignment vertical="center"/>
    </xf>
    <xf numFmtId="4" fontId="8" fillId="2" borderId="3" xfId="0" applyNumberFormat="1" applyFont="1" applyFill="1" applyBorder="1" applyAlignment="1">
      <alignment vertical="center"/>
    </xf>
    <xf numFmtId="4" fontId="8" fillId="0" borderId="3" xfId="0" applyNumberFormat="1" applyFont="1" applyBorder="1" applyAlignment="1">
      <alignment vertical="center"/>
    </xf>
    <xf numFmtId="4" fontId="8" fillId="0" borderId="3" xfId="0" applyNumberFormat="1" applyFont="1" applyBorder="1" applyAlignment="1">
      <alignment horizontal="left"/>
    </xf>
    <xf numFmtId="4" fontId="7" fillId="0" borderId="3" xfId="0" applyNumberFormat="1" applyFont="1" applyBorder="1" applyAlignment="1">
      <alignment horizontal="right"/>
    </xf>
    <xf numFmtId="4" fontId="7" fillId="0" borderId="3" xfId="0" applyNumberFormat="1" applyFont="1" applyBorder="1" applyAlignment="1">
      <alignment horizontal="right" vertical="center"/>
    </xf>
    <xf numFmtId="4" fontId="7" fillId="0" borderId="3" xfId="0" applyNumberFormat="1" applyFont="1" applyBorder="1"/>
    <xf numFmtId="4" fontId="7" fillId="9" borderId="3" xfId="0" applyNumberFormat="1" applyFont="1" applyFill="1" applyBorder="1"/>
    <xf numFmtId="4" fontId="7" fillId="4" borderId="3" xfId="0" applyNumberFormat="1" applyFont="1" applyFill="1" applyBorder="1"/>
    <xf numFmtId="4" fontId="8" fillId="4" borderId="3" xfId="0" applyNumberFormat="1" applyFont="1" applyFill="1" applyBorder="1" applyAlignment="1">
      <alignment vertical="center"/>
    </xf>
    <xf numFmtId="4" fontId="7" fillId="0" borderId="3" xfId="0" applyNumberFormat="1" applyFont="1" applyBorder="1" applyAlignment="1">
      <alignment vertical="center"/>
    </xf>
    <xf numFmtId="4" fontId="8" fillId="5" borderId="3" xfId="0" applyNumberFormat="1" applyFont="1" applyFill="1" applyBorder="1" applyAlignment="1">
      <alignment wrapText="1"/>
    </xf>
    <xf numFmtId="4" fontId="8" fillId="9" borderId="3" xfId="1" applyNumberFormat="1" applyFont="1" applyFill="1" applyBorder="1" applyAlignment="1">
      <alignment horizontal="right" vertical="center" wrapText="1"/>
    </xf>
    <xf numFmtId="4" fontId="8" fillId="5" borderId="3" xfId="0" applyNumberFormat="1" applyFont="1" applyFill="1" applyBorder="1" applyAlignment="1">
      <alignment vertical="center"/>
    </xf>
    <xf numFmtId="4" fontId="8" fillId="9" borderId="3" xfId="0" applyNumberFormat="1" applyFont="1" applyFill="1" applyBorder="1" applyAlignment="1">
      <alignment horizontal="right" vertical="center" wrapText="1"/>
    </xf>
    <xf numFmtId="4" fontId="7" fillId="5" borderId="3" xfId="0" applyNumberFormat="1" applyFont="1" applyFill="1" applyBorder="1" applyAlignment="1">
      <alignment vertical="center"/>
    </xf>
    <xf numFmtId="4" fontId="8" fillId="9" borderId="3" xfId="0" applyNumberFormat="1" applyFont="1" applyFill="1" applyBorder="1" applyAlignment="1">
      <alignment vertical="center"/>
    </xf>
    <xf numFmtId="4" fontId="8" fillId="3" borderId="3" xfId="0" applyNumberFormat="1" applyFont="1" applyFill="1" applyBorder="1" applyAlignment="1">
      <alignment vertical="center"/>
    </xf>
    <xf numFmtId="4" fontId="8" fillId="6" borderId="3" xfId="0" applyNumberFormat="1" applyFont="1" applyFill="1" applyBorder="1" applyAlignment="1">
      <alignment vertical="center"/>
    </xf>
    <xf numFmtId="4" fontId="8" fillId="0" borderId="3" xfId="0" applyNumberFormat="1" applyFont="1" applyBorder="1" applyAlignment="1">
      <alignment vertical="center" wrapText="1"/>
    </xf>
    <xf numFmtId="4" fontId="8" fillId="9" borderId="3" xfId="0" applyNumberFormat="1" applyFont="1" applyFill="1" applyBorder="1" applyAlignment="1">
      <alignment vertical="center" wrapText="1"/>
    </xf>
    <xf numFmtId="4" fontId="8" fillId="13" borderId="3" xfId="0" applyNumberFormat="1" applyFont="1" applyFill="1" applyBorder="1" applyAlignment="1">
      <alignment vertical="center" wrapText="1"/>
    </xf>
    <xf numFmtId="4" fontId="7" fillId="13" borderId="3" xfId="0" applyNumberFormat="1" applyFont="1" applyFill="1" applyBorder="1" applyAlignment="1">
      <alignment vertical="center" wrapText="1"/>
    </xf>
    <xf numFmtId="4" fontId="8" fillId="5" borderId="3" xfId="0" applyNumberFormat="1" applyFont="1" applyFill="1" applyBorder="1" applyAlignment="1">
      <alignment horizontal="right" vertical="center" wrapText="1"/>
    </xf>
    <xf numFmtId="4" fontId="8" fillId="5" borderId="3" xfId="0" applyNumberFormat="1" applyFont="1" applyFill="1" applyBorder="1" applyAlignment="1">
      <alignment vertical="center" wrapText="1"/>
    </xf>
    <xf numFmtId="4" fontId="7" fillId="5" borderId="3" xfId="0" applyNumberFormat="1" applyFont="1" applyFill="1" applyBorder="1" applyAlignment="1">
      <alignment horizontal="right" vertical="center" wrapText="1"/>
    </xf>
    <xf numFmtId="4" fontId="8" fillId="11" borderId="3" xfId="0" applyNumberFormat="1" applyFont="1" applyFill="1" applyBorder="1" applyAlignment="1">
      <alignment vertical="center" wrapText="1"/>
    </xf>
    <xf numFmtId="4" fontId="7" fillId="9" borderId="3" xfId="0" applyNumberFormat="1" applyFont="1" applyFill="1" applyBorder="1" applyAlignment="1">
      <alignment horizontal="right" vertical="center" wrapText="1"/>
    </xf>
    <xf numFmtId="4" fontId="8" fillId="11" borderId="3" xfId="0" applyNumberFormat="1" applyFont="1" applyFill="1" applyBorder="1" applyAlignment="1">
      <alignment horizontal="right" vertical="center" wrapText="1"/>
    </xf>
    <xf numFmtId="4" fontId="7" fillId="9" borderId="3" xfId="0" applyNumberFormat="1" applyFont="1" applyFill="1" applyBorder="1" applyAlignment="1">
      <alignment vertical="center" wrapText="1"/>
    </xf>
    <xf numFmtId="4" fontId="8" fillId="9" borderId="3" xfId="0" applyNumberFormat="1" applyFont="1" applyFill="1" applyBorder="1" applyAlignment="1">
      <alignment horizontal="right" vertical="top" wrapText="1"/>
    </xf>
    <xf numFmtId="4" fontId="8" fillId="16" borderId="3" xfId="0" applyNumberFormat="1" applyFont="1" applyFill="1" applyBorder="1" applyAlignment="1">
      <alignment vertical="center" wrapText="1"/>
    </xf>
    <xf numFmtId="4" fontId="8" fillId="10" borderId="3" xfId="0" applyNumberFormat="1" applyFont="1" applyFill="1" applyBorder="1" applyAlignment="1">
      <alignment vertical="center" wrapText="1"/>
    </xf>
    <xf numFmtId="4" fontId="7" fillId="9" borderId="3" xfId="0" applyNumberFormat="1" applyFont="1" applyFill="1" applyBorder="1" applyAlignment="1">
      <alignment horizontal="right" vertical="top" wrapText="1"/>
    </xf>
    <xf numFmtId="4" fontId="7" fillId="5" borderId="3" xfId="0" applyNumberFormat="1" applyFont="1" applyFill="1" applyBorder="1" applyAlignment="1">
      <alignment vertical="center" wrapText="1"/>
    </xf>
    <xf numFmtId="4" fontId="8" fillId="13" borderId="3" xfId="0" applyNumberFormat="1" applyFont="1" applyFill="1" applyBorder="1" applyAlignment="1">
      <alignment vertical="center"/>
    </xf>
    <xf numFmtId="4" fontId="8" fillId="7" borderId="3" xfId="0" applyNumberFormat="1" applyFont="1" applyFill="1" applyBorder="1"/>
    <xf numFmtId="4" fontId="8" fillId="9" borderId="3" xfId="0" applyNumberFormat="1" applyFont="1" applyFill="1" applyBorder="1" applyAlignment="1">
      <alignment horizontal="right"/>
    </xf>
    <xf numFmtId="4" fontId="8" fillId="11" borderId="3" xfId="0" applyNumberFormat="1" applyFont="1" applyFill="1" applyBorder="1"/>
    <xf numFmtId="4" fontId="8" fillId="13" borderId="3" xfId="0" applyNumberFormat="1" applyFont="1" applyFill="1" applyBorder="1"/>
    <xf numFmtId="4" fontId="8" fillId="9" borderId="3" xfId="0" applyNumberFormat="1" applyFont="1" applyFill="1" applyBorder="1"/>
    <xf numFmtId="4" fontId="8" fillId="11" borderId="3" xfId="0" applyNumberFormat="1" applyFont="1" applyFill="1" applyBorder="1" applyAlignment="1">
      <alignment horizontal="right"/>
    </xf>
    <xf numFmtId="4" fontId="8" fillId="3" borderId="3" xfId="0" applyNumberFormat="1" applyFont="1" applyFill="1" applyBorder="1"/>
    <xf numFmtId="4" fontId="8" fillId="4" borderId="3" xfId="0" applyNumberFormat="1" applyFont="1" applyFill="1" applyBorder="1" applyAlignment="1">
      <alignment vertical="center" wrapText="1"/>
    </xf>
    <xf numFmtId="4" fontId="8" fillId="10" borderId="3" xfId="0" applyNumberFormat="1" applyFont="1" applyFill="1" applyBorder="1" applyAlignment="1">
      <alignment horizontal="right" vertical="center" wrapText="1"/>
    </xf>
    <xf numFmtId="4" fontId="8" fillId="15" borderId="3" xfId="0" applyNumberFormat="1" applyFont="1" applyFill="1" applyBorder="1" applyAlignment="1">
      <alignment vertical="center"/>
    </xf>
    <xf numFmtId="4" fontId="7" fillId="15" borderId="3" xfId="0" applyNumberFormat="1" applyFont="1" applyFill="1" applyBorder="1" applyAlignment="1">
      <alignment vertical="center" wrapText="1"/>
    </xf>
    <xf numFmtId="4" fontId="8" fillId="15" borderId="3" xfId="0" applyNumberFormat="1" applyFont="1" applyFill="1" applyBorder="1" applyAlignment="1">
      <alignment horizontal="right" vertical="center" wrapText="1"/>
    </xf>
    <xf numFmtId="4" fontId="7" fillId="15" borderId="3" xfId="0" applyNumberFormat="1" applyFont="1" applyFill="1" applyBorder="1" applyAlignment="1">
      <alignment horizontal="right" vertical="center" wrapText="1"/>
    </xf>
    <xf numFmtId="4" fontId="7" fillId="9" borderId="3" xfId="0" applyNumberFormat="1" applyFont="1" applyFill="1" applyBorder="1" applyAlignment="1">
      <alignment vertical="center"/>
    </xf>
    <xf numFmtId="0" fontId="5" fillId="0" borderId="2" xfId="0" applyFont="1" applyBorder="1"/>
    <xf numFmtId="4" fontId="8" fillId="18" borderId="3" xfId="0" applyNumberFormat="1" applyFont="1" applyFill="1" applyBorder="1" applyAlignment="1">
      <alignment vertical="center" wrapText="1"/>
    </xf>
    <xf numFmtId="4" fontId="7" fillId="0" borderId="3" xfId="0" applyNumberFormat="1" applyFont="1" applyBorder="1" applyAlignment="1">
      <alignment horizontal="right" vertical="top" wrapText="1"/>
    </xf>
    <xf numFmtId="4" fontId="7" fillId="0" borderId="3" xfId="0" applyNumberFormat="1" applyFont="1" applyBorder="1" applyAlignment="1">
      <alignment vertical="center" wrapText="1"/>
    </xf>
    <xf numFmtId="4" fontId="7" fillId="0" borderId="3" xfId="0" applyNumberFormat="1" applyFont="1" applyBorder="1" applyAlignment="1">
      <alignment horizontal="right" vertical="center" wrapText="1"/>
    </xf>
    <xf numFmtId="0" fontId="5" fillId="0" borderId="0" xfId="0" applyFont="1" applyAlignment="1">
      <alignment wrapText="1"/>
    </xf>
    <xf numFmtId="4" fontId="7" fillId="19" borderId="3" xfId="0" applyNumberFormat="1" applyFont="1" applyFill="1" applyBorder="1" applyAlignment="1">
      <alignment vertical="center" wrapText="1"/>
    </xf>
    <xf numFmtId="4" fontId="7" fillId="19" borderId="3" xfId="0" applyNumberFormat="1" applyFont="1" applyFill="1" applyBorder="1"/>
    <xf numFmtId="4" fontId="7" fillId="20" borderId="3" xfId="0" applyNumberFormat="1" applyFont="1" applyFill="1" applyBorder="1" applyAlignment="1">
      <alignment horizontal="right" vertical="center" wrapText="1"/>
    </xf>
    <xf numFmtId="4" fontId="5" fillId="0" borderId="0" xfId="0" applyNumberFormat="1" applyFont="1"/>
    <xf numFmtId="4" fontId="4" fillId="17" borderId="0" xfId="0" applyNumberFormat="1" applyFont="1" applyFill="1"/>
    <xf numFmtId="4" fontId="9" fillId="21" borderId="3" xfId="0" applyNumberFormat="1" applyFont="1" applyFill="1" applyBorder="1" applyAlignment="1">
      <alignment vertical="center" wrapText="1"/>
    </xf>
    <xf numFmtId="4" fontId="4" fillId="16" borderId="3" xfId="0" applyNumberFormat="1" applyFont="1" applyFill="1" applyBorder="1" applyAlignment="1">
      <alignment horizontal="right" vertical="center" wrapText="1"/>
    </xf>
    <xf numFmtId="4" fontId="4" fillId="17" borderId="3" xfId="0" applyNumberFormat="1" applyFont="1" applyFill="1" applyBorder="1" applyAlignment="1">
      <alignment vertical="center" wrapText="1"/>
    </xf>
    <xf numFmtId="4" fontId="4" fillId="22" borderId="3" xfId="0" applyNumberFormat="1" applyFont="1" applyFill="1" applyBorder="1"/>
    <xf numFmtId="4" fontId="4" fillId="16" borderId="3" xfId="0" applyNumberFormat="1" applyFont="1" applyFill="1" applyBorder="1" applyAlignment="1">
      <alignment vertical="center"/>
    </xf>
    <xf numFmtId="4" fontId="4" fillId="23" borderId="3" xfId="0" applyNumberFormat="1" applyFont="1" applyFill="1" applyBorder="1" applyAlignment="1">
      <alignment vertical="center"/>
    </xf>
    <xf numFmtId="4" fontId="4" fillId="6" borderId="3" xfId="0" applyNumberFormat="1" applyFont="1" applyFill="1" applyBorder="1" applyAlignment="1">
      <alignment vertical="center"/>
    </xf>
    <xf numFmtId="4" fontId="7" fillId="20" borderId="3" xfId="0" applyNumberFormat="1" applyFont="1" applyFill="1" applyBorder="1" applyAlignment="1">
      <alignment vertical="center" wrapText="1"/>
    </xf>
    <xf numFmtId="4" fontId="4" fillId="5" borderId="3" xfId="0" applyNumberFormat="1" applyFont="1" applyFill="1" applyBorder="1" applyAlignment="1">
      <alignment vertical="center"/>
    </xf>
    <xf numFmtId="4" fontId="8" fillId="4" borderId="4" xfId="0" applyNumberFormat="1" applyFont="1" applyFill="1" applyBorder="1" applyAlignment="1">
      <alignment vertical="center"/>
    </xf>
    <xf numFmtId="4" fontId="8" fillId="14" borderId="3" xfId="0" applyNumberFormat="1" applyFont="1" applyFill="1" applyBorder="1" applyAlignment="1">
      <alignment vertical="center"/>
    </xf>
    <xf numFmtId="1" fontId="8" fillId="9" borderId="3" xfId="0" applyNumberFormat="1" applyFont="1" applyFill="1" applyBorder="1"/>
    <xf numFmtId="1" fontId="7" fillId="9" borderId="3" xfId="0" applyNumberFormat="1" applyFont="1" applyFill="1" applyBorder="1"/>
    <xf numFmtId="1" fontId="8" fillId="9" borderId="3" xfId="0" applyNumberFormat="1" applyFont="1" applyFill="1" applyBorder="1" applyAlignment="1">
      <alignment vertical="center"/>
    </xf>
    <xf numFmtId="1" fontId="8" fillId="9" borderId="3" xfId="0" applyNumberFormat="1" applyFont="1" applyFill="1" applyBorder="1" applyAlignment="1">
      <alignment wrapText="1"/>
    </xf>
    <xf numFmtId="4" fontId="7" fillId="0" borderId="3" xfId="0" applyNumberFormat="1" applyFont="1" applyBorder="1" applyAlignment="1">
      <alignment horizontal="center" vertical="center" wrapText="1"/>
    </xf>
    <xf numFmtId="4" fontId="11" fillId="0" borderId="3" xfId="2" applyNumberFormat="1" applyFont="1" applyBorder="1" applyAlignment="1" applyProtection="1">
      <alignment vertical="center"/>
      <protection locked="0"/>
    </xf>
    <xf numFmtId="4" fontId="12" fillId="0" borderId="3" xfId="2" applyNumberFormat="1" applyFont="1" applyBorder="1" applyAlignment="1" applyProtection="1">
      <alignment vertical="center"/>
      <protection locked="0"/>
    </xf>
    <xf numFmtId="4" fontId="7" fillId="24" borderId="3" xfId="0" applyNumberFormat="1" applyFont="1" applyFill="1" applyBorder="1" applyAlignment="1">
      <alignment vertical="center"/>
    </xf>
    <xf numFmtId="4" fontId="7" fillId="25" borderId="3" xfId="0" applyNumberFormat="1" applyFont="1" applyFill="1" applyBorder="1" applyAlignment="1">
      <alignment vertical="center"/>
    </xf>
    <xf numFmtId="4" fontId="8" fillId="0" borderId="3" xfId="0" applyNumberFormat="1" applyFont="1" applyBorder="1"/>
    <xf numFmtId="4" fontId="7" fillId="0" borderId="3" xfId="0" applyNumberFormat="1" applyFont="1" applyBorder="1" applyAlignment="1">
      <alignment horizontal="left" vertical="center"/>
    </xf>
    <xf numFmtId="4" fontId="7" fillId="4" borderId="3" xfId="0" applyNumberFormat="1" applyFont="1" applyFill="1" applyBorder="1" applyAlignment="1">
      <alignment horizontal="left" vertical="center"/>
    </xf>
    <xf numFmtId="4" fontId="8" fillId="10" borderId="3" xfId="0" applyNumberFormat="1" applyFont="1" applyFill="1" applyBorder="1"/>
    <xf numFmtId="4" fontId="8" fillId="9" borderId="3" xfId="1" applyNumberFormat="1" applyFont="1" applyFill="1" applyBorder="1" applyAlignment="1">
      <alignment vertical="center" wrapText="1"/>
    </xf>
    <xf numFmtId="4" fontId="8" fillId="9" borderId="3" xfId="0" applyNumberFormat="1" applyFont="1" applyFill="1" applyBorder="1" applyAlignment="1">
      <alignment horizontal="left" vertical="center" wrapText="1"/>
    </xf>
    <xf numFmtId="4" fontId="7" fillId="3" borderId="3" xfId="0" applyNumberFormat="1" applyFont="1" applyFill="1" applyBorder="1" applyAlignment="1">
      <alignment horizontal="right" vertical="center" wrapText="1"/>
    </xf>
    <xf numFmtId="4" fontId="7" fillId="3" borderId="3" xfId="0" applyNumberFormat="1" applyFont="1" applyFill="1" applyBorder="1" applyAlignment="1">
      <alignment vertical="center" wrapText="1"/>
    </xf>
    <xf numFmtId="4" fontId="7" fillId="6" borderId="3" xfId="0" applyNumberFormat="1" applyFont="1" applyFill="1" applyBorder="1" applyAlignment="1">
      <alignment horizontal="right" wrapText="1"/>
    </xf>
    <xf numFmtId="4" fontId="7" fillId="13" borderId="3" xfId="0" applyNumberFormat="1" applyFont="1" applyFill="1" applyBorder="1" applyAlignment="1">
      <alignment horizontal="right" vertical="center" wrapText="1"/>
    </xf>
    <xf numFmtId="4" fontId="6" fillId="0" borderId="0" xfId="0" applyNumberFormat="1" applyFont="1"/>
    <xf numFmtId="4" fontId="8" fillId="9" borderId="3" xfId="0" applyNumberFormat="1" applyFont="1" applyFill="1" applyBorder="1" applyAlignment="1">
      <alignment wrapText="1"/>
    </xf>
    <xf numFmtId="4" fontId="8" fillId="14" borderId="3" xfId="0" applyNumberFormat="1" applyFont="1" applyFill="1" applyBorder="1" applyAlignment="1">
      <alignment horizontal="left" vertical="top" wrapText="1"/>
    </xf>
    <xf numFmtId="4" fontId="7" fillId="5" borderId="3" xfId="0" applyNumberFormat="1" applyFont="1" applyFill="1" applyBorder="1" applyAlignment="1">
      <alignment horizontal="left" vertical="top" wrapText="1"/>
    </xf>
    <xf numFmtId="4" fontId="8" fillId="5" borderId="3" xfId="0" applyNumberFormat="1" applyFont="1" applyFill="1" applyBorder="1" applyAlignment="1">
      <alignment horizontal="left" vertical="center" wrapText="1"/>
    </xf>
    <xf numFmtId="4" fontId="8" fillId="5" borderId="3" xfId="0" applyNumberFormat="1" applyFont="1" applyFill="1" applyBorder="1" applyAlignment="1">
      <alignment horizontal="left" vertical="top" wrapText="1"/>
    </xf>
    <xf numFmtId="4" fontId="8" fillId="5" borderId="3" xfId="0" applyNumberFormat="1" applyFont="1" applyFill="1" applyBorder="1"/>
    <xf numFmtId="4" fontId="8" fillId="9" borderId="3" xfId="0" applyNumberFormat="1" applyFont="1" applyFill="1" applyBorder="1" applyAlignment="1">
      <alignment horizontal="left" vertical="top" wrapText="1"/>
    </xf>
    <xf numFmtId="4" fontId="7" fillId="9" borderId="3" xfId="0" applyNumberFormat="1" applyFont="1" applyFill="1" applyBorder="1" applyAlignment="1">
      <alignment horizontal="right"/>
    </xf>
    <xf numFmtId="4" fontId="7" fillId="5" borderId="3" xfId="0" applyNumberFormat="1" applyFont="1" applyFill="1" applyBorder="1" applyAlignment="1">
      <alignment horizontal="left" vertical="center" wrapText="1"/>
    </xf>
    <xf numFmtId="4" fontId="8" fillId="5" borderId="3" xfId="0" applyNumberFormat="1" applyFont="1" applyFill="1" applyBorder="1" applyAlignment="1">
      <alignment horizontal="left" wrapText="1"/>
    </xf>
    <xf numFmtId="4" fontId="8" fillId="0" borderId="0" xfId="0" applyNumberFormat="1" applyFont="1"/>
    <xf numFmtId="4" fontId="8" fillId="9" borderId="3" xfId="0" applyNumberFormat="1" applyFont="1" applyFill="1" applyBorder="1" applyAlignment="1">
      <alignment horizontal="left" wrapText="1"/>
    </xf>
    <xf numFmtId="4" fontId="5" fillId="5" borderId="1" xfId="0" applyNumberFormat="1" applyFont="1" applyFill="1" applyBorder="1"/>
    <xf numFmtId="4" fontId="7" fillId="9" borderId="3" xfId="0" applyNumberFormat="1" applyFont="1" applyFill="1" applyBorder="1" applyAlignment="1">
      <alignment horizontal="left" vertical="center" wrapText="1"/>
    </xf>
    <xf numFmtId="4" fontId="8" fillId="11" borderId="3" xfId="0" applyNumberFormat="1" applyFont="1" applyFill="1" applyBorder="1" applyAlignment="1">
      <alignment wrapText="1"/>
    </xf>
    <xf numFmtId="4" fontId="7" fillId="9" borderId="3" xfId="0" applyNumberFormat="1" applyFont="1" applyFill="1" applyBorder="1" applyAlignment="1">
      <alignment horizontal="left" vertical="top" wrapText="1"/>
    </xf>
    <xf numFmtId="4" fontId="8" fillId="10" borderId="3" xfId="0" applyNumberFormat="1" applyFont="1" applyFill="1" applyBorder="1" applyAlignment="1">
      <alignment horizontal="center" vertical="top" wrapText="1"/>
    </xf>
    <xf numFmtId="4" fontId="8" fillId="9" borderId="3" xfId="0" applyNumberFormat="1" applyFont="1" applyFill="1" applyBorder="1" applyAlignment="1">
      <alignment horizontal="center" vertical="top" wrapText="1"/>
    </xf>
    <xf numFmtId="4" fontId="8" fillId="0" borderId="3" xfId="0" applyNumberFormat="1" applyFont="1" applyBorder="1" applyAlignment="1">
      <alignment horizontal="center" vertical="top" wrapText="1"/>
    </xf>
    <xf numFmtId="4" fontId="7" fillId="11" borderId="3" xfId="0" applyNumberFormat="1" applyFont="1" applyFill="1" applyBorder="1" applyAlignment="1">
      <alignment horizontal="left" vertical="top" wrapText="1"/>
    </xf>
    <xf numFmtId="4" fontId="7" fillId="11" borderId="3" xfId="0" applyNumberFormat="1" applyFont="1" applyFill="1" applyBorder="1" applyAlignment="1">
      <alignment vertical="center" wrapText="1"/>
    </xf>
    <xf numFmtId="4" fontId="7" fillId="16" borderId="3" xfId="0" applyNumberFormat="1" applyFont="1" applyFill="1" applyBorder="1" applyAlignment="1">
      <alignment horizontal="right" wrapText="1"/>
    </xf>
    <xf numFmtId="4" fontId="7" fillId="0" borderId="3" xfId="0" applyNumberFormat="1" applyFont="1" applyBorder="1" applyAlignment="1">
      <alignment wrapText="1"/>
    </xf>
    <xf numFmtId="4" fontId="8" fillId="0" borderId="3" xfId="0" applyNumberFormat="1" applyFont="1" applyBorder="1" applyAlignment="1">
      <alignment wrapText="1"/>
    </xf>
    <xf numFmtId="4" fontId="7" fillId="10" borderId="3" xfId="0" applyNumberFormat="1" applyFont="1" applyFill="1" applyBorder="1" applyAlignment="1">
      <alignment wrapText="1"/>
    </xf>
    <xf numFmtId="4" fontId="8" fillId="10" borderId="3" xfId="0" applyNumberFormat="1" applyFont="1" applyFill="1" applyBorder="1" applyAlignment="1">
      <alignment wrapText="1"/>
    </xf>
    <xf numFmtId="4" fontId="7" fillId="5" borderId="3" xfId="0" applyNumberFormat="1" applyFont="1" applyFill="1" applyBorder="1" applyAlignment="1">
      <alignment horizontal="center" vertical="top" wrapText="1"/>
    </xf>
    <xf numFmtId="4" fontId="7" fillId="5" borderId="3" xfId="0" applyNumberFormat="1" applyFont="1" applyFill="1" applyBorder="1" applyAlignment="1">
      <alignment horizontal="center" vertical="center" wrapText="1"/>
    </xf>
    <xf numFmtId="4" fontId="7" fillId="14" borderId="3" xfId="0" applyNumberFormat="1" applyFont="1" applyFill="1" applyBorder="1" applyAlignment="1">
      <alignment horizontal="center" vertical="top" wrapText="1"/>
    </xf>
    <xf numFmtId="4" fontId="7" fillId="14" borderId="3" xfId="0" applyNumberFormat="1" applyFont="1" applyFill="1" applyBorder="1" applyAlignment="1">
      <alignment horizontal="center" vertical="center" wrapText="1"/>
    </xf>
    <xf numFmtId="4" fontId="7" fillId="0" borderId="3" xfId="0" applyNumberFormat="1" applyFont="1" applyBorder="1" applyAlignment="1">
      <alignment horizontal="center" vertical="top" wrapText="1"/>
    </xf>
    <xf numFmtId="4" fontId="7" fillId="9" borderId="3" xfId="0" applyNumberFormat="1" applyFont="1" applyFill="1" applyBorder="1" applyAlignment="1">
      <alignment horizontal="center" vertical="top" wrapText="1"/>
    </xf>
    <xf numFmtId="4" fontId="5" fillId="0" borderId="3" xfId="0" applyNumberFormat="1" applyFont="1" applyBorder="1" applyAlignment="1">
      <alignment horizontal="left" vertical="center" wrapText="1"/>
    </xf>
    <xf numFmtId="4" fontId="4" fillId="0" borderId="3" xfId="0" applyNumberFormat="1" applyFont="1" applyBorder="1" applyAlignment="1">
      <alignment horizontal="right" vertical="center" wrapText="1"/>
    </xf>
    <xf numFmtId="4" fontId="5" fillId="18" borderId="3" xfId="0" applyNumberFormat="1" applyFont="1" applyFill="1" applyBorder="1" applyAlignment="1">
      <alignment horizontal="left" vertical="center" wrapText="1"/>
    </xf>
    <xf numFmtId="4" fontId="7" fillId="18" borderId="3" xfId="0" applyNumberFormat="1" applyFont="1" applyFill="1" applyBorder="1" applyAlignment="1">
      <alignment vertical="center" wrapText="1"/>
    </xf>
    <xf numFmtId="4" fontId="7" fillId="18" borderId="3" xfId="0" applyNumberFormat="1" applyFont="1" applyFill="1" applyBorder="1" applyAlignment="1">
      <alignment horizontal="right" vertical="top" wrapText="1"/>
    </xf>
    <xf numFmtId="4" fontId="7" fillId="6" borderId="3" xfId="0" applyNumberFormat="1" applyFont="1" applyFill="1" applyBorder="1" applyAlignment="1">
      <alignment horizontal="right" vertical="center" wrapText="1"/>
    </xf>
    <xf numFmtId="4" fontId="7" fillId="7" borderId="3" xfId="0" applyNumberFormat="1" applyFont="1" applyFill="1" applyBorder="1" applyAlignment="1">
      <alignment horizontal="left"/>
    </xf>
    <xf numFmtId="4" fontId="7" fillId="7" borderId="3" xfId="0" applyNumberFormat="1" applyFont="1" applyFill="1" applyBorder="1"/>
    <xf numFmtId="4" fontId="8" fillId="14" borderId="3" xfId="0" applyNumberFormat="1" applyFont="1" applyFill="1" applyBorder="1" applyAlignment="1">
      <alignment horizontal="left" vertical="top"/>
    </xf>
    <xf numFmtId="4" fontId="7" fillId="11" borderId="3" xfId="0" applyNumberFormat="1" applyFont="1" applyFill="1" applyBorder="1" applyAlignment="1">
      <alignment horizontal="right"/>
    </xf>
    <xf numFmtId="4" fontId="7" fillId="13" borderId="3" xfId="0" applyNumberFormat="1" applyFont="1" applyFill="1" applyBorder="1" applyAlignment="1">
      <alignment horizontal="right"/>
    </xf>
    <xf numFmtId="4" fontId="7" fillId="13" borderId="3" xfId="0" applyNumberFormat="1" applyFont="1" applyFill="1" applyBorder="1"/>
    <xf numFmtId="4" fontId="7" fillId="3" borderId="3" xfId="0" applyNumberFormat="1" applyFont="1" applyFill="1" applyBorder="1" applyAlignment="1">
      <alignment horizontal="right"/>
    </xf>
    <xf numFmtId="4" fontId="7" fillId="3" borderId="3" xfId="0" applyNumberFormat="1" applyFont="1" applyFill="1" applyBorder="1"/>
    <xf numFmtId="4" fontId="8" fillId="0" borderId="2" xfId="0" applyNumberFormat="1" applyFont="1" applyBorder="1"/>
    <xf numFmtId="4" fontId="7" fillId="17" borderId="3" xfId="0" applyNumberFormat="1" applyFont="1" applyFill="1" applyBorder="1" applyAlignment="1">
      <alignment horizontal="right" vertical="center" wrapText="1"/>
    </xf>
    <xf numFmtId="4" fontId="8" fillId="9" borderId="0" xfId="0" applyNumberFormat="1" applyFont="1" applyFill="1"/>
    <xf numFmtId="4" fontId="7" fillId="5" borderId="3" xfId="0" applyNumberFormat="1" applyFont="1" applyFill="1" applyBorder="1"/>
    <xf numFmtId="4" fontId="8" fillId="15" borderId="3" xfId="0" applyNumberFormat="1" applyFont="1" applyFill="1" applyBorder="1"/>
    <xf numFmtId="4" fontId="8" fillId="15" borderId="3" xfId="0" applyNumberFormat="1" applyFont="1" applyFill="1" applyBorder="1" applyAlignment="1">
      <alignment wrapText="1"/>
    </xf>
    <xf numFmtId="4" fontId="8" fillId="15" borderId="3" xfId="0" applyNumberFormat="1" applyFont="1" applyFill="1" applyBorder="1" applyAlignment="1">
      <alignment horizontal="left" vertical="center" wrapText="1"/>
    </xf>
    <xf numFmtId="4" fontId="7" fillId="10" borderId="3" xfId="0" applyNumberFormat="1" applyFont="1" applyFill="1" applyBorder="1" applyAlignment="1">
      <alignment horizontal="right" vertical="center" wrapText="1"/>
    </xf>
    <xf numFmtId="4" fontId="3" fillId="9" borderId="0" xfId="0" applyNumberFormat="1" applyFont="1" applyFill="1"/>
    <xf numFmtId="4" fontId="7" fillId="24" borderId="3" xfId="0" applyNumberFormat="1" applyFont="1" applyFill="1" applyBorder="1"/>
    <xf numFmtId="4" fontId="7" fillId="24" borderId="3" xfId="0" applyNumberFormat="1" applyFont="1" applyFill="1" applyBorder="1" applyAlignment="1">
      <alignment wrapText="1"/>
    </xf>
    <xf numFmtId="4" fontId="8" fillId="4" borderId="3" xfId="0" applyNumberFormat="1" applyFont="1" applyFill="1" applyBorder="1" applyAlignment="1">
      <alignment horizontal="center"/>
    </xf>
    <xf numFmtId="4" fontId="7" fillId="4" borderId="3" xfId="0" applyNumberFormat="1" applyFont="1" applyFill="1" applyBorder="1" applyAlignment="1">
      <alignment horizontal="center" vertical="center" wrapText="1"/>
    </xf>
    <xf numFmtId="4" fontId="7" fillId="0" borderId="3" xfId="0" applyNumberFormat="1" applyFont="1" applyBorder="1" applyAlignment="1">
      <alignment horizontal="center" vertical="center"/>
    </xf>
    <xf numFmtId="4" fontId="8" fillId="0" borderId="3" xfId="0" applyNumberFormat="1" applyFont="1" applyBorder="1" applyAlignment="1">
      <alignment horizontal="left" vertical="center" wrapText="1"/>
    </xf>
    <xf numFmtId="4" fontId="7" fillId="12" borderId="3" xfId="0" applyNumberFormat="1" applyFont="1" applyFill="1" applyBorder="1" applyAlignment="1">
      <alignment horizontal="center" vertical="center" wrapText="1"/>
    </xf>
    <xf numFmtId="4" fontId="7" fillId="0" borderId="3" xfId="0" applyNumberFormat="1" applyFont="1" applyBorder="1" applyAlignment="1">
      <alignment vertical="top" wrapText="1"/>
    </xf>
    <xf numFmtId="4" fontId="8" fillId="0" borderId="3" xfId="0" applyNumberFormat="1" applyFont="1" applyBorder="1" applyAlignment="1">
      <alignment horizontal="center" wrapText="1"/>
    </xf>
    <xf numFmtId="164" fontId="8" fillId="0" borderId="3" xfId="0" applyNumberFormat="1" applyFont="1" applyBorder="1" applyAlignment="1">
      <alignment vertical="center"/>
    </xf>
    <xf numFmtId="164" fontId="8" fillId="9" borderId="3" xfId="0" applyNumberFormat="1" applyFont="1" applyFill="1" applyBorder="1" applyAlignment="1">
      <alignment vertical="center"/>
    </xf>
    <xf numFmtId="4" fontId="7" fillId="4" borderId="3" xfId="0" applyNumberFormat="1" applyFont="1" applyFill="1" applyBorder="1" applyAlignment="1">
      <alignment horizontal="center" vertical="center" wrapText="1"/>
    </xf>
    <xf numFmtId="4" fontId="0" fillId="0" borderId="3" xfId="0" applyNumberFormat="1" applyBorder="1" applyAlignment="1">
      <alignment vertical="center"/>
    </xf>
    <xf numFmtId="4" fontId="8" fillId="14" borderId="3" xfId="0" applyNumberFormat="1" applyFont="1" applyFill="1" applyBorder="1" applyAlignment="1">
      <alignment horizontal="left" vertical="top" wrapText="1"/>
    </xf>
    <xf numFmtId="4" fontId="0" fillId="0" borderId="3" xfId="0" applyNumberFormat="1" applyBorder="1"/>
    <xf numFmtId="4" fontId="5" fillId="0" borderId="3" xfId="0" applyNumberFormat="1" applyFont="1" applyBorder="1" applyAlignment="1">
      <alignment horizontal="left" vertical="center" wrapText="1"/>
    </xf>
    <xf numFmtId="4" fontId="0" fillId="0" borderId="3" xfId="0" applyNumberFormat="1" applyBorder="1" applyAlignment="1">
      <alignment vertical="center" wrapText="1"/>
    </xf>
    <xf numFmtId="4" fontId="8" fillId="13" borderId="3" xfId="0" applyNumberFormat="1" applyFont="1" applyFill="1" applyBorder="1" applyAlignment="1">
      <alignment horizontal="left" vertical="center" wrapText="1"/>
    </xf>
    <xf numFmtId="4" fontId="8" fillId="13" borderId="3" xfId="0" applyNumberFormat="1" applyFont="1" applyFill="1" applyBorder="1" applyAlignment="1">
      <alignment horizontal="left" wrapText="1"/>
    </xf>
    <xf numFmtId="4" fontId="0" fillId="0" borderId="3" xfId="0" applyNumberFormat="1" applyBorder="1" applyAlignment="1">
      <alignment wrapText="1"/>
    </xf>
    <xf numFmtId="4" fontId="8" fillId="13" borderId="3" xfId="0" applyNumberFormat="1" applyFont="1" applyFill="1" applyBorder="1" applyAlignment="1">
      <alignment horizontal="left" vertical="top" wrapText="1"/>
    </xf>
    <xf numFmtId="4" fontId="8" fillId="10" borderId="3" xfId="0" applyNumberFormat="1" applyFont="1" applyFill="1" applyBorder="1"/>
    <xf numFmtId="4" fontId="8" fillId="14" borderId="3" xfId="0" applyNumberFormat="1" applyFont="1" applyFill="1" applyBorder="1" applyAlignment="1">
      <alignment vertical="top" wrapText="1"/>
    </xf>
    <xf numFmtId="4" fontId="8" fillId="13" borderId="3" xfId="0" applyNumberFormat="1" applyFont="1" applyFill="1" applyBorder="1" applyAlignment="1">
      <alignment vertical="top" wrapText="1"/>
    </xf>
    <xf numFmtId="4" fontId="0" fillId="10" borderId="3" xfId="0" applyNumberFormat="1" applyFill="1" applyBorder="1"/>
    <xf numFmtId="4" fontId="8" fillId="10" borderId="3" xfId="0" applyNumberFormat="1" applyFont="1" applyFill="1" applyBorder="1" applyAlignment="1">
      <alignment horizontal="left" vertical="top" wrapText="1"/>
    </xf>
    <xf numFmtId="4" fontId="0" fillId="0" borderId="3" xfId="0" applyNumberFormat="1" applyBorder="1" applyAlignment="1">
      <alignment vertical="top" wrapText="1"/>
    </xf>
    <xf numFmtId="4" fontId="7" fillId="0" borderId="3" xfId="0" applyNumberFormat="1" applyFont="1" applyBorder="1" applyAlignment="1">
      <alignment horizontal="left" vertical="center" wrapText="1"/>
    </xf>
    <xf numFmtId="4" fontId="5" fillId="10" borderId="3" xfId="0" applyNumberFormat="1" applyFont="1" applyFill="1" applyBorder="1" applyAlignment="1">
      <alignment horizontal="left" vertical="center" wrapText="1"/>
    </xf>
    <xf numFmtId="4" fontId="7" fillId="9" borderId="3" xfId="0" applyNumberFormat="1" applyFont="1" applyFill="1" applyBorder="1"/>
    <xf numFmtId="4" fontId="8" fillId="9" borderId="3" xfId="0" applyNumberFormat="1" applyFont="1" applyFill="1" applyBorder="1"/>
    <xf numFmtId="4" fontId="8" fillId="13" borderId="2" xfId="0" applyNumberFormat="1" applyFont="1" applyFill="1" applyBorder="1" applyAlignment="1">
      <alignment horizontal="left" vertical="top" wrapText="1"/>
    </xf>
    <xf numFmtId="4" fontId="0" fillId="0" borderId="2" xfId="0" applyNumberFormat="1" applyBorder="1"/>
    <xf numFmtId="4" fontId="7" fillId="5" borderId="3" xfId="0" applyNumberFormat="1" applyFont="1" applyFill="1" applyBorder="1" applyAlignment="1">
      <alignment vertical="center"/>
    </xf>
    <xf numFmtId="4" fontId="8" fillId="0" borderId="3" xfId="0" applyNumberFormat="1" applyFont="1" applyBorder="1"/>
    <xf numFmtId="4" fontId="7" fillId="4" borderId="3" xfId="0" applyNumberFormat="1" applyFont="1" applyFill="1" applyBorder="1" applyAlignment="1">
      <alignment vertical="center"/>
    </xf>
    <xf numFmtId="4" fontId="7" fillId="9" borderId="3" xfId="0" applyNumberFormat="1" applyFont="1" applyFill="1" applyBorder="1" applyAlignment="1">
      <alignment vertical="center" wrapText="1"/>
    </xf>
    <xf numFmtId="4" fontId="7" fillId="2" borderId="3" xfId="0" applyNumberFormat="1" applyFont="1" applyFill="1" applyBorder="1" applyAlignment="1">
      <alignment horizontal="center"/>
    </xf>
    <xf numFmtId="4" fontId="7" fillId="0" borderId="3" xfId="0" applyNumberFormat="1" applyFont="1" applyBorder="1" applyAlignment="1">
      <alignment horizontal="center"/>
    </xf>
    <xf numFmtId="4" fontId="8" fillId="5" borderId="3" xfId="0" applyNumberFormat="1" applyFont="1" applyFill="1" applyBorder="1" applyAlignment="1">
      <alignment horizontal="left" vertical="top" wrapText="1"/>
    </xf>
    <xf numFmtId="4" fontId="8" fillId="14" borderId="2" xfId="0" applyNumberFormat="1" applyFont="1" applyFill="1" applyBorder="1" applyAlignment="1">
      <alignment vertical="top" wrapText="1"/>
    </xf>
    <xf numFmtId="4" fontId="7" fillId="0" borderId="5" xfId="0" applyNumberFormat="1" applyFont="1" applyBorder="1" applyAlignment="1">
      <alignment wrapText="1"/>
    </xf>
    <xf numFmtId="4" fontId="0" fillId="0" borderId="5" xfId="0" applyNumberFormat="1" applyBorder="1"/>
  </cellXfs>
  <cellStyles count="3">
    <cellStyle name="Loše" xfId="1" builtinId="27"/>
    <cellStyle name="Normal_1" xfId="2" xr:uid="{3F45AAE9-CD40-4A37-B341-3E730F64B735}"/>
    <cellStyle name="Normalan"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9"/>
  <sheetViews>
    <sheetView tabSelected="1" zoomScaleNormal="100" workbookViewId="0">
      <selection activeCell="B2" sqref="B2:D2"/>
    </sheetView>
  </sheetViews>
  <sheetFormatPr defaultColWidth="11.125" defaultRowHeight="18.75" x14ac:dyDescent="0.3"/>
  <cols>
    <col min="1" max="1" width="10.75" style="84" customWidth="1"/>
    <col min="2" max="2" width="90.375" style="150" customWidth="1"/>
    <col min="3" max="3" width="47.375" style="114" customWidth="1"/>
    <col min="4" max="4" width="16.75" style="114" customWidth="1"/>
    <col min="5" max="5" width="34.625" style="114" customWidth="1"/>
    <col min="6" max="11" width="8.625" style="1" customWidth="1"/>
    <col min="12" max="13" width="11.125" style="1"/>
    <col min="14" max="14" width="13.25" style="1" bestFit="1" customWidth="1"/>
    <col min="15" max="16384" width="11.125" style="1"/>
  </cols>
  <sheetData>
    <row r="1" spans="1:5" x14ac:dyDescent="0.3">
      <c r="B1" s="196" t="s">
        <v>0</v>
      </c>
      <c r="C1" s="196"/>
      <c r="D1" s="196"/>
      <c r="E1" s="13"/>
    </row>
    <row r="2" spans="1:5" x14ac:dyDescent="0.3">
      <c r="B2" s="197" t="s">
        <v>388</v>
      </c>
      <c r="C2" s="197"/>
      <c r="D2" s="197"/>
      <c r="E2" s="14"/>
    </row>
    <row r="3" spans="1:5" x14ac:dyDescent="0.3">
      <c r="B3" s="18" t="s">
        <v>278</v>
      </c>
      <c r="C3" s="15"/>
      <c r="D3" s="14"/>
      <c r="E3" s="14"/>
    </row>
    <row r="4" spans="1:5" x14ac:dyDescent="0.3">
      <c r="B4" s="93"/>
      <c r="C4" s="16" t="s">
        <v>1</v>
      </c>
      <c r="D4" s="17" t="s">
        <v>2</v>
      </c>
      <c r="E4" s="14"/>
    </row>
    <row r="5" spans="1:5" x14ac:dyDescent="0.3">
      <c r="B5" s="94" t="s">
        <v>3</v>
      </c>
      <c r="C5" s="18">
        <f>+E24</f>
        <v>732343000</v>
      </c>
      <c r="D5" s="168">
        <f>+C5/C13</f>
        <v>0.81931308385075796</v>
      </c>
      <c r="E5" s="14"/>
    </row>
    <row r="6" spans="1:5" x14ac:dyDescent="0.3">
      <c r="B6" s="94" t="s">
        <v>4</v>
      </c>
      <c r="C6" s="19">
        <f>+E171</f>
        <v>39674000</v>
      </c>
      <c r="D6" s="169">
        <f>+C6/C13</f>
        <v>4.4385523298092519E-2</v>
      </c>
      <c r="E6" s="14"/>
    </row>
    <row r="7" spans="1:5" x14ac:dyDescent="0.3">
      <c r="B7" s="94" t="s">
        <v>5</v>
      </c>
      <c r="C7" s="19">
        <f>+E236</f>
        <v>38390000</v>
      </c>
      <c r="D7" s="169">
        <f>+C7/C13</f>
        <v>4.2949040666778543E-2</v>
      </c>
      <c r="E7" s="14"/>
    </row>
    <row r="8" spans="1:5" x14ac:dyDescent="0.3">
      <c r="B8" s="94" t="s">
        <v>6</v>
      </c>
      <c r="C8" s="19">
        <f>+E396</f>
        <v>14499000</v>
      </c>
      <c r="D8" s="169">
        <f>+C8/C13</f>
        <v>1.6220842423225374E-2</v>
      </c>
      <c r="E8" s="14"/>
    </row>
    <row r="9" spans="1:5" x14ac:dyDescent="0.3">
      <c r="B9" s="94" t="s">
        <v>7</v>
      </c>
      <c r="C9" s="19">
        <f>+E274</f>
        <v>3130000</v>
      </c>
      <c r="D9" s="169">
        <f>+C9/C13</f>
        <v>3.501706102813671E-3</v>
      </c>
      <c r="E9" s="14"/>
    </row>
    <row r="10" spans="1:5" x14ac:dyDescent="0.3">
      <c r="B10" s="94" t="s">
        <v>8</v>
      </c>
      <c r="C10" s="18">
        <f>+D450</f>
        <v>65314000</v>
      </c>
      <c r="D10" s="168">
        <f>+C10/C13</f>
        <v>7.3070425686636464E-2</v>
      </c>
      <c r="E10" s="14"/>
    </row>
    <row r="11" spans="1:5" x14ac:dyDescent="0.3">
      <c r="B11" s="94" t="s">
        <v>9</v>
      </c>
      <c r="C11" s="18">
        <f>+E398</f>
        <v>500000</v>
      </c>
      <c r="D11" s="168">
        <f>+C11/C13</f>
        <v>5.5937797169547463E-4</v>
      </c>
      <c r="E11" s="14"/>
    </row>
    <row r="12" spans="1:5" x14ac:dyDescent="0.3">
      <c r="B12" s="95"/>
      <c r="C12" s="20"/>
      <c r="D12" s="21"/>
      <c r="E12" s="21"/>
    </row>
    <row r="13" spans="1:5" x14ac:dyDescent="0.3">
      <c r="B13" s="17" t="s">
        <v>10</v>
      </c>
      <c r="C13" s="18">
        <f>SUM(C5:C11)</f>
        <v>893850000</v>
      </c>
      <c r="D13" s="22">
        <f>SUM(D5:D11)</f>
        <v>1</v>
      </c>
      <c r="E13" s="22"/>
    </row>
    <row r="14" spans="1:5" x14ac:dyDescent="0.3">
      <c r="A14" s="85"/>
      <c r="B14" s="18" t="s">
        <v>11</v>
      </c>
      <c r="C14" s="23"/>
      <c r="D14" s="14"/>
      <c r="E14" s="14"/>
    </row>
    <row r="15" spans="1:5" ht="128.25" customHeight="1" x14ac:dyDescent="0.3">
      <c r="B15" s="176" t="s">
        <v>384</v>
      </c>
      <c r="C15" s="180"/>
      <c r="D15" s="180"/>
      <c r="E15" s="180"/>
    </row>
    <row r="16" spans="1:5" x14ac:dyDescent="0.3">
      <c r="B16" s="32" t="s">
        <v>350</v>
      </c>
      <c r="C16" s="32"/>
      <c r="D16" s="24">
        <v>369000000</v>
      </c>
      <c r="E16" s="25"/>
    </row>
    <row r="17" spans="2:11" x14ac:dyDescent="0.3">
      <c r="B17" s="32" t="s">
        <v>12</v>
      </c>
      <c r="C17" s="32"/>
      <c r="D17" s="26">
        <v>120000000</v>
      </c>
      <c r="E17" s="25"/>
    </row>
    <row r="18" spans="2:11" x14ac:dyDescent="0.3">
      <c r="B18" s="32" t="s">
        <v>13</v>
      </c>
      <c r="C18" s="32"/>
      <c r="D18" s="26">
        <v>60000000</v>
      </c>
      <c r="E18" s="25"/>
      <c r="F18" s="2"/>
      <c r="G18" s="2"/>
      <c r="H18" s="2"/>
      <c r="I18" s="2"/>
      <c r="J18" s="2"/>
      <c r="K18" s="2"/>
    </row>
    <row r="19" spans="2:11" x14ac:dyDescent="0.3">
      <c r="B19" s="32" t="s">
        <v>373</v>
      </c>
      <c r="C19" s="32"/>
      <c r="D19" s="26">
        <v>20000000</v>
      </c>
      <c r="E19" s="25"/>
      <c r="F19" s="2"/>
      <c r="G19" s="2"/>
      <c r="H19" s="2"/>
      <c r="I19" s="2"/>
      <c r="J19" s="2"/>
      <c r="K19" s="2"/>
    </row>
    <row r="20" spans="2:11" x14ac:dyDescent="0.3">
      <c r="B20" s="32" t="s">
        <v>374</v>
      </c>
      <c r="C20" s="32"/>
      <c r="D20" s="26">
        <v>10000000</v>
      </c>
      <c r="E20" s="25"/>
      <c r="F20" s="2"/>
      <c r="G20" s="2"/>
      <c r="H20" s="2"/>
      <c r="I20" s="2"/>
      <c r="J20" s="2"/>
      <c r="K20" s="2"/>
    </row>
    <row r="21" spans="2:11" x14ac:dyDescent="0.3">
      <c r="B21" s="97" t="s">
        <v>351</v>
      </c>
      <c r="C21" s="32"/>
      <c r="D21" s="24">
        <v>4343000</v>
      </c>
      <c r="E21" s="25"/>
      <c r="F21" s="2"/>
      <c r="G21" s="2"/>
      <c r="H21" s="2"/>
      <c r="I21" s="2"/>
      <c r="J21" s="2"/>
      <c r="K21" s="2"/>
    </row>
    <row r="22" spans="2:11" x14ac:dyDescent="0.3">
      <c r="B22" s="98" t="s">
        <v>14</v>
      </c>
      <c r="C22" s="32"/>
      <c r="D22" s="26">
        <v>149000000</v>
      </c>
      <c r="E22" s="27"/>
      <c r="F22" s="3"/>
      <c r="G22" s="3"/>
      <c r="H22" s="3"/>
      <c r="I22" s="3"/>
      <c r="J22" s="3"/>
      <c r="K22" s="3"/>
    </row>
    <row r="23" spans="2:11" x14ac:dyDescent="0.3">
      <c r="B23" s="99"/>
      <c r="C23" s="100"/>
      <c r="D23" s="29"/>
      <c r="E23" s="29"/>
    </row>
    <row r="24" spans="2:11" x14ac:dyDescent="0.3">
      <c r="B24" s="93"/>
      <c r="C24" s="101" t="s">
        <v>15</v>
      </c>
      <c r="D24" s="30"/>
      <c r="E24" s="79">
        <f>+D16+D17+D18+D19+D20+D21+D22</f>
        <v>732343000</v>
      </c>
    </row>
    <row r="25" spans="2:11" x14ac:dyDescent="0.3">
      <c r="B25" s="200" t="s">
        <v>4</v>
      </c>
      <c r="C25" s="201"/>
      <c r="D25" s="201"/>
      <c r="E25" s="201"/>
    </row>
    <row r="26" spans="2:11" x14ac:dyDescent="0.3">
      <c r="B26" s="102"/>
      <c r="C26" s="34"/>
      <c r="D26" s="33"/>
      <c r="E26" s="33"/>
    </row>
    <row r="27" spans="2:11" x14ac:dyDescent="0.3">
      <c r="B27" s="195" t="s">
        <v>16</v>
      </c>
      <c r="C27" s="189"/>
      <c r="D27" s="32"/>
      <c r="E27" s="71"/>
    </row>
    <row r="28" spans="2:11" ht="332.25" customHeight="1" x14ac:dyDescent="0.3">
      <c r="B28" s="199" t="s">
        <v>17</v>
      </c>
      <c r="C28" s="191"/>
      <c r="D28" s="191"/>
      <c r="E28" s="191"/>
    </row>
    <row r="29" spans="2:11" x14ac:dyDescent="0.3">
      <c r="B29" s="36" t="s">
        <v>18</v>
      </c>
      <c r="C29" s="23"/>
      <c r="D29" s="35">
        <v>400000</v>
      </c>
      <c r="E29" s="71"/>
    </row>
    <row r="30" spans="2:11" x14ac:dyDescent="0.3">
      <c r="B30" s="36" t="s">
        <v>20</v>
      </c>
      <c r="C30" s="23"/>
      <c r="D30" s="35">
        <v>5900000</v>
      </c>
      <c r="E30" s="71"/>
    </row>
    <row r="31" spans="2:11" x14ac:dyDescent="0.3">
      <c r="B31" s="36" t="s">
        <v>21</v>
      </c>
      <c r="C31" s="23"/>
      <c r="D31" s="35">
        <v>1000000</v>
      </c>
      <c r="E31" s="103"/>
      <c r="F31" s="2"/>
      <c r="G31" s="2"/>
      <c r="H31" s="2"/>
    </row>
    <row r="32" spans="2:11" x14ac:dyDescent="0.3">
      <c r="B32" s="36" t="s">
        <v>22</v>
      </c>
      <c r="C32" s="23"/>
      <c r="D32" s="35">
        <v>4000000</v>
      </c>
      <c r="E32" s="71"/>
    </row>
    <row r="33" spans="1:11" x14ac:dyDescent="0.3">
      <c r="B33" s="32" t="s">
        <v>23</v>
      </c>
      <c r="C33" s="32"/>
      <c r="D33" s="26">
        <v>200000</v>
      </c>
      <c r="E33" s="65"/>
    </row>
    <row r="34" spans="1:11" x14ac:dyDescent="0.3">
      <c r="B34" s="37" t="s">
        <v>24</v>
      </c>
      <c r="C34" s="23"/>
      <c r="D34" s="36"/>
      <c r="E34" s="65">
        <f>+D29+D30+D31+D32+D33</f>
        <v>11500000</v>
      </c>
    </row>
    <row r="35" spans="1:11" x14ac:dyDescent="0.3">
      <c r="B35" s="102"/>
      <c r="C35" s="34"/>
      <c r="D35" s="33"/>
      <c r="E35" s="33"/>
    </row>
    <row r="36" spans="1:11" x14ac:dyDescent="0.3">
      <c r="B36" s="41" t="s">
        <v>25</v>
      </c>
      <c r="C36" s="104"/>
      <c r="D36" s="32"/>
      <c r="E36" s="32"/>
    </row>
    <row r="37" spans="1:11" ht="102.75" customHeight="1" x14ac:dyDescent="0.3">
      <c r="B37" s="172" t="s">
        <v>26</v>
      </c>
      <c r="C37" s="173"/>
      <c r="D37" s="173"/>
      <c r="E37" s="173"/>
    </row>
    <row r="38" spans="1:11" x14ac:dyDescent="0.3">
      <c r="B38" s="36" t="s">
        <v>27</v>
      </c>
      <c r="C38" s="36" t="s">
        <v>28</v>
      </c>
      <c r="D38" s="35">
        <f>SUM(5000*120)</f>
        <v>600000</v>
      </c>
      <c r="E38" s="32"/>
    </row>
    <row r="39" spans="1:11" ht="18.75" customHeight="1" x14ac:dyDescent="0.3">
      <c r="B39" s="36" t="s">
        <v>19</v>
      </c>
      <c r="C39" s="36" t="s">
        <v>342</v>
      </c>
      <c r="D39" s="35">
        <f>150*1*3*120</f>
        <v>54000</v>
      </c>
      <c r="E39" s="93"/>
    </row>
    <row r="40" spans="1:11" s="11" customFormat="1" x14ac:dyDescent="0.3">
      <c r="A40" s="84"/>
      <c r="B40" s="36" t="s">
        <v>29</v>
      </c>
      <c r="C40" s="36" t="s">
        <v>30</v>
      </c>
      <c r="D40" s="35">
        <v>180000</v>
      </c>
      <c r="E40" s="36"/>
      <c r="F40" s="4"/>
      <c r="G40" s="4"/>
      <c r="H40" s="4"/>
      <c r="I40" s="4"/>
      <c r="J40" s="4"/>
      <c r="K40" s="4"/>
    </row>
    <row r="41" spans="1:11" x14ac:dyDescent="0.3">
      <c r="B41" s="36" t="s">
        <v>331</v>
      </c>
      <c r="C41" s="36" t="s">
        <v>341</v>
      </c>
      <c r="D41" s="36">
        <v>32000</v>
      </c>
      <c r="E41" s="36"/>
      <c r="F41" s="4"/>
      <c r="G41" s="4"/>
      <c r="H41" s="4"/>
      <c r="I41" s="4"/>
      <c r="J41" s="4"/>
      <c r="K41" s="4"/>
    </row>
    <row r="42" spans="1:11" x14ac:dyDescent="0.3">
      <c r="B42" s="36" t="s">
        <v>31</v>
      </c>
      <c r="C42" s="36" t="s">
        <v>32</v>
      </c>
      <c r="D42" s="38">
        <v>120000</v>
      </c>
      <c r="E42" s="36"/>
      <c r="F42" s="4"/>
      <c r="G42" s="4"/>
      <c r="H42" s="4"/>
      <c r="I42" s="4"/>
      <c r="J42" s="4"/>
      <c r="K42" s="4"/>
    </row>
    <row r="43" spans="1:11" x14ac:dyDescent="0.3">
      <c r="B43" s="104" t="s">
        <v>33</v>
      </c>
      <c r="C43" s="104" t="s">
        <v>332</v>
      </c>
      <c r="D43" s="26">
        <v>15000</v>
      </c>
      <c r="E43" s="36"/>
      <c r="F43" s="4"/>
      <c r="G43" s="4"/>
      <c r="H43" s="4"/>
      <c r="I43" s="4"/>
      <c r="J43" s="4"/>
      <c r="K43" s="4"/>
    </row>
    <row r="44" spans="1:11" x14ac:dyDescent="0.3">
      <c r="B44" s="37" t="s">
        <v>24</v>
      </c>
      <c r="C44" s="23"/>
      <c r="D44" s="36"/>
      <c r="E44" s="36">
        <f>+D38+D39+D40+D41+D42+D43</f>
        <v>1001000</v>
      </c>
      <c r="F44" s="4"/>
      <c r="G44" s="4"/>
      <c r="H44" s="4"/>
      <c r="I44" s="4"/>
      <c r="J44" s="4"/>
      <c r="K44" s="4"/>
    </row>
    <row r="45" spans="1:11" x14ac:dyDescent="0.3">
      <c r="B45" s="102"/>
      <c r="C45" s="34"/>
      <c r="D45" s="33"/>
      <c r="E45" s="33"/>
      <c r="F45" s="4"/>
      <c r="G45" s="4"/>
      <c r="H45" s="4"/>
      <c r="I45" s="4"/>
      <c r="J45" s="4"/>
      <c r="K45" s="4"/>
    </row>
    <row r="46" spans="1:11" x14ac:dyDescent="0.3">
      <c r="A46" s="85"/>
      <c r="B46" s="41" t="s">
        <v>34</v>
      </c>
      <c r="C46" s="104"/>
      <c r="D46" s="32"/>
      <c r="E46" s="32"/>
    </row>
    <row r="47" spans="1:11" ht="66" customHeight="1" x14ac:dyDescent="0.3">
      <c r="B47" s="179" t="s">
        <v>381</v>
      </c>
      <c r="C47" s="173"/>
      <c r="D47" s="173"/>
      <c r="E47" s="173"/>
    </row>
    <row r="48" spans="1:11" x14ac:dyDescent="0.3">
      <c r="B48" s="106" t="s">
        <v>35</v>
      </c>
      <c r="C48" s="37">
        <f>SUM(D49)</f>
        <v>456000</v>
      </c>
      <c r="D48" s="107"/>
      <c r="E48" s="68"/>
    </row>
    <row r="49" spans="2:11" x14ac:dyDescent="0.3">
      <c r="B49" s="108" t="s">
        <v>36</v>
      </c>
      <c r="C49" s="108" t="s">
        <v>336</v>
      </c>
      <c r="D49" s="25">
        <f>3000*120+60000+36000</f>
        <v>456000</v>
      </c>
      <c r="E49" s="32"/>
    </row>
    <row r="50" spans="2:11" ht="18.75" customHeight="1" x14ac:dyDescent="0.3">
      <c r="B50" s="46" t="s">
        <v>38</v>
      </c>
      <c r="C50" s="37">
        <f>SUM(D51:D56)</f>
        <v>1839000</v>
      </c>
      <c r="D50" s="25"/>
      <c r="E50" s="52"/>
      <c r="F50" s="4"/>
      <c r="G50" s="4"/>
      <c r="H50" s="4"/>
      <c r="I50" s="4"/>
      <c r="J50" s="4"/>
      <c r="K50" s="4"/>
    </row>
    <row r="51" spans="2:11" x14ac:dyDescent="0.3">
      <c r="B51" s="108" t="s">
        <v>39</v>
      </c>
      <c r="C51" s="108" t="s">
        <v>40</v>
      </c>
      <c r="D51" s="25">
        <f>10000*120</f>
        <v>1200000</v>
      </c>
      <c r="E51" s="36"/>
    </row>
    <row r="52" spans="2:11" x14ac:dyDescent="0.3">
      <c r="B52" s="36" t="s">
        <v>340</v>
      </c>
      <c r="C52" s="107" t="s">
        <v>343</v>
      </c>
      <c r="D52" s="35">
        <f>50000*3</f>
        <v>150000</v>
      </c>
      <c r="E52" s="36"/>
    </row>
    <row r="53" spans="2:11" x14ac:dyDescent="0.3">
      <c r="B53" s="36" t="s">
        <v>41</v>
      </c>
      <c r="C53" s="36" t="s">
        <v>338</v>
      </c>
      <c r="D53" s="35">
        <f>SUM(3*5*180*120)</f>
        <v>324000</v>
      </c>
      <c r="E53" s="36"/>
      <c r="F53" s="4"/>
      <c r="G53" s="4"/>
      <c r="H53" s="4"/>
      <c r="I53" s="4"/>
      <c r="J53" s="4"/>
      <c r="K53" s="4"/>
    </row>
    <row r="54" spans="2:11" x14ac:dyDescent="0.3">
      <c r="B54" s="109" t="s">
        <v>42</v>
      </c>
      <c r="C54" s="109" t="s">
        <v>43</v>
      </c>
      <c r="D54" s="25">
        <f>700*120</f>
        <v>84000</v>
      </c>
      <c r="E54" s="36"/>
      <c r="F54" s="4"/>
      <c r="G54" s="4"/>
      <c r="H54" s="4"/>
      <c r="I54" s="4"/>
      <c r="J54" s="4"/>
      <c r="K54" s="4"/>
    </row>
    <row r="55" spans="2:11" x14ac:dyDescent="0.3">
      <c r="B55" s="109" t="s">
        <v>44</v>
      </c>
      <c r="C55" s="109" t="s">
        <v>45</v>
      </c>
      <c r="D55" s="25">
        <f>400*120</f>
        <v>48000</v>
      </c>
      <c r="E55" s="36"/>
      <c r="F55" s="4"/>
      <c r="G55" s="4"/>
      <c r="H55" s="4"/>
      <c r="I55" s="4"/>
      <c r="J55" s="4"/>
      <c r="K55" s="4"/>
    </row>
    <row r="56" spans="2:11" x14ac:dyDescent="0.3">
      <c r="B56" s="110" t="s">
        <v>33</v>
      </c>
      <c r="C56" s="110" t="s">
        <v>339</v>
      </c>
      <c r="D56" s="28">
        <v>33000</v>
      </c>
      <c r="E56" s="32"/>
    </row>
    <row r="57" spans="2:11" x14ac:dyDescent="0.3">
      <c r="B57" s="111" t="s">
        <v>24</v>
      </c>
      <c r="C57" s="104"/>
      <c r="D57" s="32"/>
      <c r="E57" s="39">
        <f>C48+C50</f>
        <v>2295000</v>
      </c>
      <c r="F57" s="4"/>
      <c r="G57" s="4"/>
      <c r="H57" s="4"/>
      <c r="I57" s="4"/>
      <c r="J57" s="4"/>
      <c r="K57" s="4"/>
    </row>
    <row r="58" spans="2:11" x14ac:dyDescent="0.3">
      <c r="B58" s="102"/>
      <c r="C58" s="34"/>
      <c r="D58" s="33"/>
      <c r="E58" s="34"/>
      <c r="F58" s="4"/>
      <c r="G58" s="4"/>
      <c r="H58" s="4"/>
      <c r="I58" s="4"/>
      <c r="J58" s="4"/>
      <c r="K58" s="4"/>
    </row>
    <row r="59" spans="2:11" x14ac:dyDescent="0.3">
      <c r="B59" s="41" t="s">
        <v>46</v>
      </c>
      <c r="C59" s="104"/>
      <c r="D59" s="32"/>
      <c r="E59" s="32"/>
      <c r="F59" s="4"/>
      <c r="G59" s="4"/>
      <c r="H59" s="4"/>
      <c r="I59" s="4"/>
      <c r="J59" s="4"/>
      <c r="K59" s="4"/>
    </row>
    <row r="60" spans="2:11" ht="57" customHeight="1" x14ac:dyDescent="0.3">
      <c r="B60" s="182" t="s">
        <v>47</v>
      </c>
      <c r="C60" s="173"/>
      <c r="D60" s="173"/>
      <c r="E60" s="173"/>
    </row>
    <row r="61" spans="2:11" x14ac:dyDescent="0.3">
      <c r="B61" s="36" t="s">
        <v>48</v>
      </c>
      <c r="C61" s="36" t="s">
        <v>49</v>
      </c>
      <c r="D61" s="35">
        <f>19000*120</f>
        <v>2280000</v>
      </c>
      <c r="E61" s="107"/>
      <c r="F61" s="4"/>
      <c r="G61" s="4"/>
      <c r="H61" s="4"/>
      <c r="I61" s="4"/>
      <c r="J61" s="4"/>
      <c r="K61" s="4"/>
    </row>
    <row r="62" spans="2:11" x14ac:dyDescent="0.3">
      <c r="B62" s="36" t="s">
        <v>50</v>
      </c>
      <c r="C62" s="36" t="s">
        <v>51</v>
      </c>
      <c r="D62" s="35">
        <f>500*120</f>
        <v>60000</v>
      </c>
      <c r="E62" s="112"/>
      <c r="F62" s="4"/>
      <c r="G62" s="4"/>
      <c r="H62" s="4"/>
      <c r="I62" s="4"/>
      <c r="J62" s="4"/>
      <c r="K62" s="4"/>
    </row>
    <row r="63" spans="2:11" x14ac:dyDescent="0.3">
      <c r="B63" s="23" t="s">
        <v>52</v>
      </c>
      <c r="C63" s="113" t="s">
        <v>53</v>
      </c>
      <c r="D63" s="36">
        <v>60000</v>
      </c>
      <c r="E63" s="107"/>
      <c r="F63" s="4"/>
      <c r="G63" s="4"/>
      <c r="H63" s="4"/>
      <c r="I63" s="4"/>
      <c r="J63" s="4"/>
      <c r="K63" s="4"/>
    </row>
    <row r="64" spans="2:11" x14ac:dyDescent="0.3">
      <c r="B64" s="108" t="s">
        <v>54</v>
      </c>
      <c r="C64" s="107" t="s">
        <v>55</v>
      </c>
      <c r="D64" s="35">
        <v>300000</v>
      </c>
      <c r="E64" s="107"/>
      <c r="F64" s="4"/>
      <c r="G64" s="4"/>
      <c r="H64" s="4"/>
      <c r="I64" s="4"/>
      <c r="J64" s="4"/>
      <c r="K64" s="4"/>
    </row>
    <row r="65" spans="2:11" x14ac:dyDescent="0.3">
      <c r="B65" s="36" t="s">
        <v>33</v>
      </c>
      <c r="C65" s="36" t="s">
        <v>322</v>
      </c>
      <c r="D65" s="35">
        <v>51000</v>
      </c>
      <c r="E65" s="36"/>
      <c r="F65" s="4"/>
      <c r="G65" s="4"/>
      <c r="H65" s="4"/>
      <c r="I65" s="4"/>
      <c r="J65" s="4"/>
      <c r="K65" s="4"/>
    </row>
    <row r="66" spans="2:11" x14ac:dyDescent="0.3">
      <c r="B66" s="36" t="s">
        <v>56</v>
      </c>
      <c r="C66" s="36" t="s">
        <v>344</v>
      </c>
      <c r="D66" s="35">
        <f>8000*120</f>
        <v>960000</v>
      </c>
      <c r="E66" s="36"/>
      <c r="F66" s="4"/>
      <c r="G66" s="4"/>
      <c r="H66" s="4"/>
      <c r="I66" s="4"/>
      <c r="J66" s="4"/>
      <c r="K66" s="4"/>
    </row>
    <row r="67" spans="2:11" x14ac:dyDescent="0.3">
      <c r="B67" s="36" t="s">
        <v>321</v>
      </c>
      <c r="C67" s="36" t="s">
        <v>330</v>
      </c>
      <c r="D67" s="35">
        <f>60000*4</f>
        <v>240000</v>
      </c>
      <c r="E67" s="36"/>
    </row>
    <row r="68" spans="2:11" x14ac:dyDescent="0.3">
      <c r="B68" s="36" t="s">
        <v>57</v>
      </c>
      <c r="C68" s="36" t="s">
        <v>58</v>
      </c>
      <c r="D68" s="35">
        <f>17000*6</f>
        <v>102000</v>
      </c>
      <c r="E68" s="36"/>
    </row>
    <row r="69" spans="2:11" x14ac:dyDescent="0.3">
      <c r="B69" s="36" t="s">
        <v>59</v>
      </c>
      <c r="C69" s="38" t="s">
        <v>337</v>
      </c>
      <c r="D69" s="40">
        <f>360000+60000</f>
        <v>420000</v>
      </c>
      <c r="E69" s="98"/>
    </row>
    <row r="70" spans="2:11" x14ac:dyDescent="0.3">
      <c r="B70" s="36" t="s">
        <v>60</v>
      </c>
      <c r="C70" s="36" t="s">
        <v>55</v>
      </c>
      <c r="D70" s="35">
        <v>300000</v>
      </c>
    </row>
    <row r="71" spans="2:11" x14ac:dyDescent="0.3">
      <c r="B71" s="108" t="s">
        <v>61</v>
      </c>
      <c r="C71" s="107">
        <v>1000000</v>
      </c>
      <c r="D71" s="35">
        <v>1000000</v>
      </c>
      <c r="E71" s="68"/>
      <c r="F71" s="4"/>
      <c r="G71" s="4"/>
      <c r="H71" s="4"/>
      <c r="I71" s="4"/>
      <c r="J71" s="4"/>
      <c r="K71" s="4"/>
    </row>
    <row r="72" spans="2:11" x14ac:dyDescent="0.3">
      <c r="B72" s="111" t="s">
        <v>24</v>
      </c>
      <c r="C72" s="104"/>
      <c r="D72" s="32"/>
      <c r="E72" s="39">
        <f>SUM(D61:D71)</f>
        <v>5773000</v>
      </c>
      <c r="F72" s="4"/>
      <c r="G72" s="4"/>
      <c r="H72" s="4"/>
      <c r="I72" s="4"/>
      <c r="J72" s="4"/>
      <c r="K72" s="4"/>
    </row>
    <row r="73" spans="2:11" ht="18.75" customHeight="1" x14ac:dyDescent="0.3">
      <c r="B73" s="102"/>
      <c r="C73" s="34"/>
      <c r="D73" s="33"/>
      <c r="E73" s="96"/>
      <c r="F73" s="4"/>
      <c r="G73" s="4"/>
      <c r="H73" s="4"/>
      <c r="I73" s="4"/>
      <c r="J73" s="4"/>
      <c r="K73" s="4"/>
    </row>
    <row r="74" spans="2:11" x14ac:dyDescent="0.3">
      <c r="B74" s="41" t="s">
        <v>62</v>
      </c>
      <c r="C74" s="104"/>
      <c r="D74" s="32"/>
      <c r="E74" s="36"/>
      <c r="F74" s="4"/>
      <c r="G74" s="4"/>
      <c r="H74" s="4"/>
      <c r="I74" s="4"/>
      <c r="J74" s="4"/>
      <c r="K74" s="4"/>
    </row>
    <row r="75" spans="2:11" ht="120.75" customHeight="1" x14ac:dyDescent="0.3">
      <c r="B75" s="172" t="s">
        <v>329</v>
      </c>
      <c r="C75" s="173"/>
      <c r="D75" s="173"/>
      <c r="E75" s="173"/>
      <c r="F75" s="4"/>
      <c r="G75" s="4"/>
      <c r="H75" s="4"/>
      <c r="I75" s="4"/>
      <c r="J75" s="4"/>
      <c r="K75" s="4"/>
    </row>
    <row r="76" spans="2:11" x14ac:dyDescent="0.3">
      <c r="B76" s="115" t="s">
        <v>63</v>
      </c>
      <c r="C76" s="108" t="s">
        <v>64</v>
      </c>
      <c r="D76" s="36">
        <f>10000*120</f>
        <v>1200000</v>
      </c>
      <c r="E76" s="36"/>
      <c r="F76" s="4"/>
      <c r="G76" s="4"/>
      <c r="H76" s="4"/>
      <c r="I76" s="4"/>
      <c r="J76" s="4"/>
      <c r="K76" s="4"/>
    </row>
    <row r="77" spans="2:11" x14ac:dyDescent="0.3">
      <c r="B77" s="36" t="s">
        <v>23</v>
      </c>
      <c r="C77" s="38" t="s">
        <v>65</v>
      </c>
      <c r="D77" s="38">
        <v>8000</v>
      </c>
      <c r="E77" s="36"/>
    </row>
    <row r="78" spans="2:11" x14ac:dyDescent="0.3">
      <c r="B78" s="39" t="s">
        <v>24</v>
      </c>
      <c r="C78" s="104"/>
      <c r="D78" s="32"/>
      <c r="E78" s="39">
        <f>SUM(D76:D77)</f>
        <v>1208000</v>
      </c>
      <c r="F78" s="4"/>
      <c r="G78" s="4"/>
      <c r="H78" s="4"/>
      <c r="I78" s="4"/>
      <c r="J78" s="4"/>
      <c r="K78" s="4"/>
    </row>
    <row r="79" spans="2:11" x14ac:dyDescent="0.3">
      <c r="B79" s="102"/>
      <c r="C79" s="34"/>
      <c r="D79" s="33"/>
      <c r="E79" s="33"/>
      <c r="F79" s="4"/>
      <c r="G79" s="4"/>
      <c r="H79" s="4"/>
      <c r="I79" s="4"/>
      <c r="J79" s="4"/>
      <c r="K79" s="4"/>
    </row>
    <row r="80" spans="2:11" x14ac:dyDescent="0.3">
      <c r="B80" s="195" t="s">
        <v>67</v>
      </c>
      <c r="C80" s="189"/>
      <c r="D80" s="32"/>
      <c r="E80" s="116"/>
    </row>
    <row r="81" spans="2:11" ht="65.25" customHeight="1" x14ac:dyDescent="0.3">
      <c r="B81" s="190" t="s">
        <v>68</v>
      </c>
      <c r="C81" s="191"/>
      <c r="D81" s="191"/>
      <c r="E81" s="191"/>
    </row>
    <row r="82" spans="2:11" x14ac:dyDescent="0.3">
      <c r="B82" s="36" t="s">
        <v>69</v>
      </c>
      <c r="C82" s="36" t="s">
        <v>323</v>
      </c>
      <c r="D82" s="35">
        <f>30000</f>
        <v>30000</v>
      </c>
      <c r="E82" s="116"/>
    </row>
    <row r="83" spans="2:11" x14ac:dyDescent="0.3">
      <c r="B83" s="32" t="s">
        <v>23</v>
      </c>
      <c r="C83" s="32" t="s">
        <v>324</v>
      </c>
      <c r="D83" s="26">
        <v>15000</v>
      </c>
      <c r="E83" s="71"/>
    </row>
    <row r="84" spans="2:11" x14ac:dyDescent="0.3">
      <c r="B84" s="36" t="s">
        <v>31</v>
      </c>
      <c r="C84" s="38" t="s">
        <v>32</v>
      </c>
      <c r="D84" s="40">
        <v>120000</v>
      </c>
    </row>
    <row r="85" spans="2:11" ht="18.75" customHeight="1" x14ac:dyDescent="0.3">
      <c r="B85" s="37" t="s">
        <v>24</v>
      </c>
      <c r="C85" s="23"/>
      <c r="D85" s="36"/>
      <c r="E85" s="37">
        <f>SUM(D82:D84)</f>
        <v>165000</v>
      </c>
      <c r="F85" s="4"/>
      <c r="G85" s="4"/>
      <c r="H85" s="4"/>
      <c r="I85" s="4"/>
      <c r="J85" s="4"/>
      <c r="K85" s="4"/>
    </row>
    <row r="86" spans="2:11" x14ac:dyDescent="0.3">
      <c r="B86" s="102"/>
      <c r="C86" s="34"/>
      <c r="D86" s="33"/>
      <c r="E86" s="33"/>
      <c r="F86" s="4"/>
      <c r="G86" s="4"/>
      <c r="H86" s="4"/>
      <c r="I86" s="4"/>
      <c r="J86" s="4"/>
      <c r="K86" s="4"/>
    </row>
    <row r="87" spans="2:11" x14ac:dyDescent="0.3">
      <c r="B87" s="41" t="s">
        <v>70</v>
      </c>
      <c r="C87" s="104"/>
      <c r="D87" s="32"/>
      <c r="E87" s="36"/>
      <c r="F87" s="4"/>
      <c r="G87" s="4"/>
      <c r="H87" s="4"/>
      <c r="I87" s="4"/>
      <c r="J87" s="4"/>
      <c r="K87" s="4"/>
    </row>
    <row r="88" spans="2:11" ht="66" customHeight="1" x14ac:dyDescent="0.3">
      <c r="B88" s="181" t="s">
        <v>71</v>
      </c>
      <c r="C88" s="173"/>
      <c r="D88" s="173"/>
      <c r="E88" s="173"/>
      <c r="F88" s="4"/>
      <c r="G88" s="4"/>
      <c r="H88" s="4"/>
      <c r="I88" s="4"/>
      <c r="J88" s="4"/>
      <c r="K88" s="4"/>
    </row>
    <row r="89" spans="2:11" x14ac:dyDescent="0.3">
      <c r="B89" s="36" t="s">
        <v>72</v>
      </c>
      <c r="C89" s="38" t="s">
        <v>73</v>
      </c>
      <c r="D89" s="40">
        <f>500*5*120</f>
        <v>300000</v>
      </c>
      <c r="E89" s="65"/>
      <c r="F89" s="4"/>
      <c r="G89" s="4"/>
      <c r="H89" s="4"/>
      <c r="I89" s="4"/>
      <c r="J89" s="4"/>
      <c r="K89" s="4"/>
    </row>
    <row r="90" spans="2:11" ht="37.5" x14ac:dyDescent="0.3">
      <c r="B90" s="36" t="s">
        <v>326</v>
      </c>
      <c r="C90" s="36" t="s">
        <v>327</v>
      </c>
      <c r="D90" s="35">
        <f>50000*3</f>
        <v>150000</v>
      </c>
      <c r="E90" s="31"/>
      <c r="F90" s="4"/>
      <c r="G90" s="4"/>
      <c r="H90" s="4"/>
      <c r="I90" s="4"/>
      <c r="J90" s="4"/>
      <c r="K90" s="4"/>
    </row>
    <row r="91" spans="2:11" ht="18.75" customHeight="1" x14ac:dyDescent="0.3">
      <c r="B91" s="36" t="s">
        <v>74</v>
      </c>
      <c r="C91" s="36" t="s">
        <v>328</v>
      </c>
      <c r="D91" s="35">
        <f>250*3*3*120</f>
        <v>270000</v>
      </c>
      <c r="E91" s="93"/>
      <c r="F91" s="4"/>
      <c r="G91" s="4"/>
      <c r="H91" s="4"/>
      <c r="I91" s="4"/>
      <c r="J91" s="4"/>
      <c r="K91" s="4"/>
    </row>
    <row r="92" spans="2:11" x14ac:dyDescent="0.3">
      <c r="B92" s="110" t="s">
        <v>61</v>
      </c>
      <c r="C92" s="36" t="s">
        <v>75</v>
      </c>
      <c r="D92" s="35">
        <v>250000</v>
      </c>
      <c r="E92" s="36"/>
      <c r="F92" s="4"/>
      <c r="G92" s="4"/>
      <c r="H92" s="4"/>
      <c r="I92" s="4"/>
      <c r="J92" s="4"/>
      <c r="K92" s="4"/>
    </row>
    <row r="93" spans="2:11" x14ac:dyDescent="0.3">
      <c r="B93" s="32" t="s">
        <v>76</v>
      </c>
      <c r="C93" s="32" t="s">
        <v>333</v>
      </c>
      <c r="D93" s="26">
        <v>8000</v>
      </c>
      <c r="E93" s="39"/>
      <c r="F93" s="4"/>
      <c r="G93" s="4"/>
      <c r="H93" s="4"/>
      <c r="I93" s="4"/>
      <c r="J93" s="4"/>
      <c r="K93" s="4"/>
    </row>
    <row r="94" spans="2:11" x14ac:dyDescent="0.3">
      <c r="B94" s="39" t="s">
        <v>24</v>
      </c>
      <c r="C94" s="104"/>
      <c r="D94" s="32"/>
      <c r="E94" s="39">
        <f>SUM(D89:D93)</f>
        <v>978000</v>
      </c>
      <c r="F94" s="4"/>
      <c r="G94" s="4"/>
      <c r="H94" s="4"/>
      <c r="I94" s="4"/>
      <c r="J94" s="4"/>
      <c r="K94" s="4"/>
    </row>
    <row r="95" spans="2:11" x14ac:dyDescent="0.3">
      <c r="B95" s="102"/>
      <c r="C95" s="34"/>
      <c r="D95" s="34"/>
      <c r="E95" s="34"/>
    </row>
    <row r="96" spans="2:11" ht="26.25" customHeight="1" x14ac:dyDescent="0.3">
      <c r="B96" s="117" t="s">
        <v>77</v>
      </c>
      <c r="C96" s="104"/>
      <c r="D96" s="32"/>
      <c r="E96" s="93"/>
      <c r="F96" s="5"/>
      <c r="G96" s="5"/>
      <c r="H96" s="5"/>
      <c r="I96" s="5"/>
      <c r="J96" s="5"/>
      <c r="K96" s="5"/>
    </row>
    <row r="97" spans="1:11" ht="143.25" customHeight="1" x14ac:dyDescent="0.3">
      <c r="B97" s="179" t="s">
        <v>78</v>
      </c>
      <c r="C97" s="173"/>
      <c r="D97" s="173"/>
      <c r="E97" s="173"/>
      <c r="F97" s="4"/>
      <c r="G97" s="4"/>
      <c r="H97" s="4"/>
      <c r="I97" s="4"/>
      <c r="J97" s="4"/>
      <c r="K97" s="4"/>
    </row>
    <row r="98" spans="1:11" x14ac:dyDescent="0.3">
      <c r="B98" s="98" t="s">
        <v>79</v>
      </c>
      <c r="C98" s="118" t="s">
        <v>80</v>
      </c>
      <c r="D98" s="38">
        <f>10*4*2*30*120</f>
        <v>288000</v>
      </c>
      <c r="E98" s="32"/>
      <c r="F98" s="4"/>
      <c r="G98" s="4"/>
      <c r="H98" s="4"/>
      <c r="I98" s="4"/>
      <c r="J98" s="4"/>
      <c r="K98" s="4"/>
    </row>
    <row r="99" spans="1:11" x14ac:dyDescent="0.3">
      <c r="B99" s="98" t="s">
        <v>81</v>
      </c>
      <c r="C99" s="118" t="s">
        <v>82</v>
      </c>
      <c r="D99" s="38">
        <v>120000</v>
      </c>
      <c r="E99" s="36"/>
      <c r="F99" s="4"/>
      <c r="G99" s="4"/>
      <c r="H99" s="4"/>
      <c r="I99" s="4"/>
      <c r="J99" s="4"/>
      <c r="K99" s="4"/>
    </row>
    <row r="100" spans="1:11" x14ac:dyDescent="0.3">
      <c r="B100" s="98" t="s">
        <v>83</v>
      </c>
      <c r="C100" s="118" t="s">
        <v>84</v>
      </c>
      <c r="D100" s="38">
        <v>60000</v>
      </c>
      <c r="F100" s="4"/>
      <c r="G100" s="4"/>
      <c r="H100" s="4"/>
      <c r="I100" s="4"/>
      <c r="J100" s="4"/>
      <c r="K100" s="4"/>
    </row>
    <row r="101" spans="1:11" x14ac:dyDescent="0.3">
      <c r="B101" s="98" t="s">
        <v>85</v>
      </c>
      <c r="C101" s="104" t="s">
        <v>86</v>
      </c>
      <c r="D101" s="32">
        <v>240000</v>
      </c>
      <c r="E101" s="65"/>
      <c r="F101" s="4"/>
      <c r="G101" s="4"/>
      <c r="H101" s="4"/>
      <c r="I101" s="4"/>
      <c r="J101" s="4"/>
      <c r="K101" s="4"/>
    </row>
    <row r="102" spans="1:11" s="11" customFormat="1" x14ac:dyDescent="0.3">
      <c r="A102" s="84"/>
      <c r="B102" s="98" t="s">
        <v>87</v>
      </c>
      <c r="C102" s="104" t="s">
        <v>82</v>
      </c>
      <c r="D102" s="32">
        <v>120000</v>
      </c>
      <c r="E102" s="31"/>
      <c r="F102" s="4"/>
      <c r="G102" s="4"/>
      <c r="H102" s="4"/>
      <c r="I102" s="4"/>
      <c r="J102" s="4"/>
      <c r="K102" s="4"/>
    </row>
    <row r="103" spans="1:11" ht="18.75" customHeight="1" x14ac:dyDescent="0.3">
      <c r="B103" s="107" t="s">
        <v>31</v>
      </c>
      <c r="C103" s="104" t="s">
        <v>84</v>
      </c>
      <c r="D103" s="32">
        <f>SUM(500*120)</f>
        <v>60000</v>
      </c>
      <c r="E103" s="93"/>
    </row>
    <row r="104" spans="1:11" x14ac:dyDescent="0.3">
      <c r="B104" s="111" t="s">
        <v>24</v>
      </c>
      <c r="C104" s="104"/>
      <c r="D104" s="32"/>
      <c r="E104" s="39">
        <f>SUM(D98:D103)</f>
        <v>888000</v>
      </c>
    </row>
    <row r="105" spans="1:11" x14ac:dyDescent="0.3">
      <c r="B105" s="102"/>
      <c r="C105" s="34"/>
      <c r="D105" s="33"/>
      <c r="E105" s="33"/>
    </row>
    <row r="106" spans="1:11" x14ac:dyDescent="0.3">
      <c r="B106" s="41" t="s">
        <v>88</v>
      </c>
      <c r="C106" s="41"/>
      <c r="D106" s="32"/>
      <c r="E106" s="36"/>
    </row>
    <row r="107" spans="1:11" ht="120.75" customHeight="1" x14ac:dyDescent="0.3">
      <c r="B107" s="179" t="s">
        <v>89</v>
      </c>
      <c r="C107" s="173"/>
      <c r="D107" s="173"/>
      <c r="E107" s="173"/>
      <c r="F107" s="4"/>
      <c r="G107" s="4"/>
      <c r="H107" s="4"/>
      <c r="I107" s="4"/>
      <c r="J107" s="4"/>
      <c r="K107" s="4"/>
    </row>
    <row r="108" spans="1:11" x14ac:dyDescent="0.3">
      <c r="B108" s="107" t="s">
        <v>90</v>
      </c>
      <c r="C108" s="36" t="s">
        <v>91</v>
      </c>
      <c r="D108" s="36">
        <f>SUM(40000*120)</f>
        <v>4800000</v>
      </c>
      <c r="E108" s="32"/>
    </row>
    <row r="109" spans="1:11" x14ac:dyDescent="0.3">
      <c r="B109" s="39" t="s">
        <v>24</v>
      </c>
      <c r="C109" s="104"/>
      <c r="D109" s="32"/>
      <c r="E109" s="39">
        <f>SUM(D108:D108)</f>
        <v>4800000</v>
      </c>
      <c r="F109" s="4"/>
      <c r="G109" s="4"/>
      <c r="H109" s="4"/>
      <c r="I109" s="4"/>
      <c r="J109" s="4"/>
      <c r="K109" s="4"/>
    </row>
    <row r="110" spans="1:11" x14ac:dyDescent="0.3">
      <c r="B110" s="102"/>
      <c r="C110" s="34"/>
      <c r="D110" s="33"/>
      <c r="E110" s="33"/>
      <c r="F110" s="4"/>
      <c r="G110" s="4"/>
      <c r="H110" s="4"/>
      <c r="I110" s="4"/>
      <c r="J110" s="4"/>
      <c r="K110" s="4"/>
    </row>
    <row r="111" spans="1:11" ht="18.75" customHeight="1" x14ac:dyDescent="0.3">
      <c r="B111" s="195" t="s">
        <v>92</v>
      </c>
      <c r="C111" s="189"/>
      <c r="D111" s="32"/>
      <c r="E111" s="93"/>
      <c r="F111" s="4"/>
      <c r="G111" s="4"/>
      <c r="H111" s="4"/>
      <c r="I111" s="4"/>
      <c r="J111" s="4"/>
      <c r="K111" s="4"/>
    </row>
    <row r="112" spans="1:11" ht="51.75" customHeight="1" x14ac:dyDescent="0.3">
      <c r="B112" s="182" t="s">
        <v>93</v>
      </c>
      <c r="C112" s="173"/>
      <c r="D112" s="173"/>
      <c r="E112" s="173"/>
      <c r="F112" s="4"/>
      <c r="G112" s="4"/>
      <c r="H112" s="4"/>
      <c r="I112" s="4"/>
      <c r="J112" s="4"/>
      <c r="K112" s="4"/>
    </row>
    <row r="113" spans="2:11" x14ac:dyDescent="0.3">
      <c r="B113" s="108" t="s">
        <v>94</v>
      </c>
      <c r="C113" s="32" t="s">
        <v>37</v>
      </c>
      <c r="D113" s="32">
        <f>3000*120</f>
        <v>360000</v>
      </c>
      <c r="E113" s="39"/>
    </row>
    <row r="114" spans="2:11" x14ac:dyDescent="0.3">
      <c r="B114" s="108" t="s">
        <v>95</v>
      </c>
      <c r="C114" s="32" t="s">
        <v>96</v>
      </c>
      <c r="D114" s="32">
        <f>SUM(800*120)</f>
        <v>96000</v>
      </c>
      <c r="E114" s="39"/>
      <c r="F114" s="4"/>
      <c r="G114" s="4"/>
      <c r="H114" s="4"/>
      <c r="I114" s="4"/>
      <c r="J114" s="4"/>
      <c r="K114" s="4"/>
    </row>
    <row r="115" spans="2:11" x14ac:dyDescent="0.3">
      <c r="B115" s="107" t="s">
        <v>31</v>
      </c>
      <c r="C115" s="104" t="s">
        <v>98</v>
      </c>
      <c r="D115" s="32">
        <f>SUM(200*120)</f>
        <v>24000</v>
      </c>
      <c r="E115" s="39"/>
      <c r="F115" s="4"/>
      <c r="G115" s="4"/>
      <c r="H115" s="4"/>
      <c r="I115" s="4"/>
      <c r="J115" s="4"/>
      <c r="K115" s="4"/>
    </row>
    <row r="116" spans="2:11" x14ac:dyDescent="0.3">
      <c r="B116" s="39" t="s">
        <v>24</v>
      </c>
      <c r="C116" s="104"/>
      <c r="D116" s="32"/>
      <c r="E116" s="39">
        <f>SUM(D113:D115)</f>
        <v>480000</v>
      </c>
      <c r="F116" s="4"/>
      <c r="G116" s="4"/>
      <c r="H116" s="4"/>
      <c r="I116" s="4"/>
      <c r="J116" s="4"/>
      <c r="K116" s="4"/>
    </row>
    <row r="117" spans="2:11" x14ac:dyDescent="0.3">
      <c r="B117" s="102"/>
      <c r="C117" s="34"/>
      <c r="D117" s="33"/>
      <c r="E117" s="33"/>
      <c r="F117" s="5"/>
      <c r="G117" s="5"/>
      <c r="H117" s="5"/>
      <c r="I117" s="5"/>
      <c r="J117" s="5"/>
      <c r="K117" s="5"/>
    </row>
    <row r="118" spans="2:11" x14ac:dyDescent="0.3">
      <c r="B118" s="119" t="s">
        <v>99</v>
      </c>
      <c r="C118" s="26"/>
      <c r="D118" s="26"/>
      <c r="E118" s="65"/>
      <c r="F118" s="4"/>
      <c r="G118" s="4"/>
      <c r="H118" s="4"/>
      <c r="I118" s="4"/>
      <c r="J118" s="4"/>
      <c r="K118" s="4"/>
    </row>
    <row r="119" spans="2:11" ht="52.5" customHeight="1" x14ac:dyDescent="0.3">
      <c r="B119" s="179" t="s">
        <v>100</v>
      </c>
      <c r="C119" s="173"/>
      <c r="D119" s="173"/>
      <c r="E119" s="173"/>
      <c r="F119" s="4"/>
      <c r="G119" s="4"/>
      <c r="H119" s="4"/>
      <c r="I119" s="4"/>
      <c r="J119" s="4"/>
      <c r="K119" s="4"/>
    </row>
    <row r="120" spans="2:11" ht="18.75" customHeight="1" x14ac:dyDescent="0.3">
      <c r="B120" s="108" t="s">
        <v>101</v>
      </c>
      <c r="C120" s="108" t="s">
        <v>28</v>
      </c>
      <c r="D120" s="35">
        <f>5000*120</f>
        <v>600000</v>
      </c>
      <c r="E120" s="93"/>
    </row>
    <row r="121" spans="2:11" x14ac:dyDescent="0.3">
      <c r="B121" s="45" t="s">
        <v>24</v>
      </c>
      <c r="C121" s="39"/>
      <c r="D121" s="32"/>
      <c r="E121" s="41">
        <f>D120</f>
        <v>600000</v>
      </c>
      <c r="F121" s="4"/>
      <c r="G121" s="4"/>
      <c r="H121" s="4"/>
      <c r="I121" s="4"/>
      <c r="J121" s="4"/>
      <c r="K121" s="4"/>
    </row>
    <row r="122" spans="2:11" x14ac:dyDescent="0.3">
      <c r="B122" s="102"/>
      <c r="C122" s="34"/>
      <c r="D122" s="33"/>
      <c r="E122" s="33"/>
    </row>
    <row r="123" spans="2:11" x14ac:dyDescent="0.3">
      <c r="B123" s="119" t="s">
        <v>102</v>
      </c>
      <c r="C123" s="26"/>
      <c r="D123" s="26"/>
      <c r="F123" s="4"/>
      <c r="G123" s="4"/>
      <c r="H123" s="4"/>
      <c r="I123" s="4"/>
      <c r="J123" s="4"/>
      <c r="K123" s="4"/>
    </row>
    <row r="124" spans="2:11" ht="66" customHeight="1" x14ac:dyDescent="0.3">
      <c r="B124" s="179" t="s">
        <v>103</v>
      </c>
      <c r="C124" s="173"/>
      <c r="D124" s="173"/>
      <c r="E124" s="173"/>
      <c r="F124" s="4"/>
      <c r="G124" s="4"/>
      <c r="H124" s="4"/>
      <c r="I124" s="4"/>
      <c r="J124" s="4"/>
      <c r="K124" s="4"/>
    </row>
    <row r="125" spans="2:11" x14ac:dyDescent="0.3">
      <c r="B125" s="108" t="s">
        <v>101</v>
      </c>
      <c r="C125" s="110" t="s">
        <v>104</v>
      </c>
      <c r="D125" s="35">
        <f>6000*120</f>
        <v>720000</v>
      </c>
      <c r="E125" s="32"/>
    </row>
    <row r="126" spans="2:11" ht="18.75" customHeight="1" x14ac:dyDescent="0.3">
      <c r="B126" s="45" t="s">
        <v>24</v>
      </c>
      <c r="C126" s="110"/>
      <c r="D126" s="35"/>
      <c r="E126" s="41">
        <f>D125</f>
        <v>720000</v>
      </c>
    </row>
    <row r="127" spans="2:11" x14ac:dyDescent="0.3">
      <c r="B127" s="120"/>
      <c r="C127" s="120"/>
      <c r="D127" s="120"/>
      <c r="E127" s="120"/>
    </row>
    <row r="128" spans="2:11" x14ac:dyDescent="0.3">
      <c r="B128" s="119" t="s">
        <v>334</v>
      </c>
      <c r="C128" s="110"/>
      <c r="D128" s="26"/>
      <c r="E128" s="32"/>
    </row>
    <row r="129" spans="1:11" ht="96" customHeight="1" x14ac:dyDescent="0.3">
      <c r="B129" s="184" t="s">
        <v>335</v>
      </c>
      <c r="C129" s="178"/>
      <c r="D129" s="178"/>
      <c r="E129" s="178"/>
      <c r="F129" s="4"/>
      <c r="G129" s="4"/>
      <c r="H129" s="4"/>
      <c r="I129" s="4"/>
      <c r="J129" s="4"/>
      <c r="K129" s="4"/>
    </row>
    <row r="130" spans="1:11" ht="18.75" customHeight="1" x14ac:dyDescent="0.3">
      <c r="B130" s="110" t="s">
        <v>66</v>
      </c>
      <c r="C130" s="110" t="s">
        <v>325</v>
      </c>
      <c r="D130" s="42">
        <v>240000</v>
      </c>
      <c r="E130" s="32"/>
      <c r="F130" s="4"/>
      <c r="G130" s="4"/>
      <c r="H130" s="4"/>
      <c r="I130" s="4"/>
      <c r="J130" s="4"/>
      <c r="K130" s="4"/>
    </row>
    <row r="131" spans="1:11" ht="18.75" customHeight="1" x14ac:dyDescent="0.3">
      <c r="B131" s="45" t="s">
        <v>24</v>
      </c>
      <c r="C131" s="110"/>
      <c r="D131" s="121"/>
      <c r="E131" s="39">
        <f>D130</f>
        <v>240000</v>
      </c>
    </row>
    <row r="132" spans="1:11" ht="18.75" customHeight="1" x14ac:dyDescent="0.3">
      <c r="B132" s="102"/>
      <c r="C132" s="34"/>
      <c r="D132" s="33"/>
      <c r="E132" s="33"/>
    </row>
    <row r="133" spans="1:11" ht="18.75" customHeight="1" x14ac:dyDescent="0.3">
      <c r="B133" s="119" t="s">
        <v>105</v>
      </c>
      <c r="C133" s="26"/>
      <c r="D133" s="26"/>
      <c r="E133" s="32"/>
    </row>
    <row r="134" spans="1:11" ht="76.5" customHeight="1" x14ac:dyDescent="0.3">
      <c r="B134" s="179" t="s">
        <v>106</v>
      </c>
      <c r="C134" s="173"/>
      <c r="D134" s="173"/>
      <c r="E134" s="173"/>
    </row>
    <row r="135" spans="1:11" x14ac:dyDescent="0.3">
      <c r="B135" s="108" t="s">
        <v>107</v>
      </c>
      <c r="C135" s="108" t="s">
        <v>32</v>
      </c>
      <c r="D135" s="35">
        <f>1000*120</f>
        <v>120000</v>
      </c>
      <c r="E135" s="65"/>
      <c r="F135" s="4"/>
      <c r="G135" s="4"/>
      <c r="H135" s="4"/>
      <c r="I135" s="4"/>
      <c r="J135" s="4"/>
      <c r="K135" s="4"/>
    </row>
    <row r="136" spans="1:11" x14ac:dyDescent="0.3">
      <c r="B136" s="45" t="s">
        <v>24</v>
      </c>
      <c r="C136" s="39"/>
      <c r="D136" s="32"/>
      <c r="E136" s="41">
        <f>D135</f>
        <v>120000</v>
      </c>
    </row>
    <row r="137" spans="1:11" ht="18.75" customHeight="1" x14ac:dyDescent="0.3">
      <c r="A137" s="85"/>
      <c r="B137" s="102"/>
      <c r="C137" s="34"/>
      <c r="D137" s="33"/>
      <c r="E137" s="96"/>
    </row>
    <row r="138" spans="1:11" x14ac:dyDescent="0.3">
      <c r="A138" s="85"/>
      <c r="B138" s="119" t="s">
        <v>108</v>
      </c>
      <c r="C138" s="26"/>
      <c r="D138" s="26"/>
      <c r="E138" s="32"/>
    </row>
    <row r="139" spans="1:11" ht="78" customHeight="1" x14ac:dyDescent="0.3">
      <c r="B139" s="179" t="s">
        <v>109</v>
      </c>
      <c r="C139" s="173"/>
      <c r="D139" s="173"/>
      <c r="E139" s="173"/>
    </row>
    <row r="140" spans="1:11" x14ac:dyDescent="0.3">
      <c r="B140" s="108" t="s">
        <v>66</v>
      </c>
      <c r="C140" s="108" t="s">
        <v>110</v>
      </c>
      <c r="D140" s="35">
        <f>1900*120</f>
        <v>228000</v>
      </c>
      <c r="E140" s="65"/>
      <c r="F140" s="4"/>
      <c r="G140" s="4"/>
      <c r="H140" s="4"/>
      <c r="I140" s="4"/>
      <c r="J140" s="4"/>
      <c r="K140" s="4"/>
    </row>
    <row r="141" spans="1:11" x14ac:dyDescent="0.3">
      <c r="B141" s="45" t="s">
        <v>24</v>
      </c>
      <c r="C141" s="39"/>
      <c r="D141" s="32"/>
      <c r="E141" s="41">
        <f>D140</f>
        <v>228000</v>
      </c>
      <c r="F141" s="4"/>
      <c r="G141" s="4"/>
      <c r="H141" s="4"/>
      <c r="I141" s="4"/>
      <c r="J141" s="4"/>
      <c r="K141" s="4"/>
    </row>
    <row r="142" spans="1:11" ht="18.75" customHeight="1" x14ac:dyDescent="0.3">
      <c r="A142" s="85"/>
      <c r="B142" s="102"/>
      <c r="C142" s="34"/>
      <c r="D142" s="33"/>
      <c r="E142" s="33"/>
      <c r="F142" s="4"/>
      <c r="G142" s="4"/>
      <c r="H142" s="4"/>
      <c r="I142" s="4"/>
      <c r="J142" s="4"/>
      <c r="K142" s="4"/>
    </row>
    <row r="143" spans="1:11" x14ac:dyDescent="0.3">
      <c r="A143" s="85"/>
      <c r="B143" s="119" t="s">
        <v>111</v>
      </c>
      <c r="C143" s="26"/>
      <c r="D143" s="26"/>
      <c r="E143" s="32"/>
    </row>
    <row r="144" spans="1:11" ht="132" customHeight="1" x14ac:dyDescent="0.3">
      <c r="A144" s="85"/>
      <c r="B144" s="179" t="s">
        <v>379</v>
      </c>
      <c r="C144" s="173"/>
      <c r="D144" s="173"/>
      <c r="E144" s="173"/>
    </row>
    <row r="145" spans="1:11" x14ac:dyDescent="0.3">
      <c r="B145" s="108" t="s">
        <v>112</v>
      </c>
      <c r="C145" s="108" t="s">
        <v>113</v>
      </c>
      <c r="D145" s="35">
        <f>7000*120</f>
        <v>840000</v>
      </c>
      <c r="E145" s="122"/>
    </row>
    <row r="146" spans="1:11" x14ac:dyDescent="0.3">
      <c r="B146" s="45" t="s">
        <v>24</v>
      </c>
      <c r="C146" s="39"/>
      <c r="D146" s="32"/>
      <c r="E146" s="41">
        <f>D145</f>
        <v>840000</v>
      </c>
    </row>
    <row r="147" spans="1:11" ht="23.25" customHeight="1" x14ac:dyDescent="0.3">
      <c r="A147" s="85"/>
      <c r="B147" s="102"/>
      <c r="C147" s="34"/>
      <c r="D147" s="33"/>
      <c r="E147" s="33"/>
    </row>
    <row r="148" spans="1:11" ht="18" customHeight="1" x14ac:dyDescent="0.3">
      <c r="A148" s="85"/>
      <c r="B148" s="119" t="s">
        <v>376</v>
      </c>
      <c r="C148" s="26"/>
      <c r="D148" s="26"/>
      <c r="E148" s="121"/>
    </row>
    <row r="149" spans="1:11" ht="129.75" customHeight="1" x14ac:dyDescent="0.3">
      <c r="B149" s="179" t="s">
        <v>383</v>
      </c>
      <c r="C149" s="173"/>
      <c r="D149" s="173"/>
      <c r="E149" s="173"/>
    </row>
    <row r="150" spans="1:11" x14ac:dyDescent="0.3">
      <c r="A150" s="86"/>
      <c r="B150" s="32" t="s">
        <v>114</v>
      </c>
      <c r="C150" s="32" t="s">
        <v>30</v>
      </c>
      <c r="D150" s="32">
        <f>1500*120</f>
        <v>180000</v>
      </c>
      <c r="E150" s="65"/>
    </row>
    <row r="151" spans="1:11" x14ac:dyDescent="0.3">
      <c r="A151" s="86"/>
      <c r="B151" s="32" t="s">
        <v>115</v>
      </c>
      <c r="C151" s="32" t="s">
        <v>97</v>
      </c>
      <c r="D151" s="32">
        <v>50000</v>
      </c>
      <c r="E151" s="66"/>
      <c r="F151" s="4"/>
      <c r="G151" s="4"/>
      <c r="H151" s="4"/>
      <c r="I151" s="4"/>
      <c r="J151" s="4"/>
      <c r="K151" s="4"/>
    </row>
    <row r="152" spans="1:11" ht="18.75" customHeight="1" x14ac:dyDescent="0.3">
      <c r="A152" s="86"/>
      <c r="B152" s="32" t="s">
        <v>345</v>
      </c>
      <c r="C152" s="32" t="s">
        <v>346</v>
      </c>
      <c r="D152" s="38">
        <v>58000</v>
      </c>
      <c r="E152" s="93"/>
      <c r="F152" s="4"/>
      <c r="G152" s="4"/>
      <c r="H152" s="4"/>
      <c r="I152" s="4"/>
      <c r="J152" s="4"/>
      <c r="K152" s="4"/>
    </row>
    <row r="153" spans="1:11" x14ac:dyDescent="0.3">
      <c r="A153" s="86"/>
      <c r="B153" s="32" t="s">
        <v>116</v>
      </c>
      <c r="C153" s="32" t="s">
        <v>347</v>
      </c>
      <c r="D153" s="32">
        <v>135000</v>
      </c>
      <c r="E153" s="31"/>
    </row>
    <row r="154" spans="1:11" x14ac:dyDescent="0.3">
      <c r="A154" s="86"/>
      <c r="B154" s="32" t="s">
        <v>117</v>
      </c>
      <c r="C154" s="38" t="s">
        <v>118</v>
      </c>
      <c r="D154" s="38">
        <f>2000*120</f>
        <v>240000</v>
      </c>
    </row>
    <row r="155" spans="1:11" x14ac:dyDescent="0.3">
      <c r="A155" s="86"/>
      <c r="B155" s="32" t="s">
        <v>119</v>
      </c>
      <c r="C155" s="32" t="s">
        <v>120</v>
      </c>
      <c r="D155" s="32">
        <f>15*2500*2*5</f>
        <v>375000</v>
      </c>
      <c r="E155" s="65"/>
    </row>
    <row r="156" spans="1:11" x14ac:dyDescent="0.3">
      <c r="A156" s="86"/>
      <c r="B156" s="32" t="s">
        <v>121</v>
      </c>
      <c r="C156" s="32" t="s">
        <v>122</v>
      </c>
      <c r="D156" s="32">
        <v>70000</v>
      </c>
      <c r="E156" s="66"/>
      <c r="F156" s="4"/>
      <c r="G156" s="4"/>
      <c r="H156" s="4"/>
      <c r="I156" s="4"/>
      <c r="J156" s="4"/>
      <c r="K156" s="4"/>
    </row>
    <row r="157" spans="1:11" ht="18.75" customHeight="1" x14ac:dyDescent="0.3">
      <c r="A157" s="86"/>
      <c r="B157" s="32" t="s">
        <v>123</v>
      </c>
      <c r="C157" s="32" t="s">
        <v>32</v>
      </c>
      <c r="D157" s="32">
        <f>1000*120</f>
        <v>120000</v>
      </c>
      <c r="E157" s="93"/>
      <c r="F157" s="4"/>
      <c r="G157" s="4"/>
      <c r="H157" s="4"/>
      <c r="I157" s="4"/>
      <c r="J157" s="4"/>
      <c r="K157" s="4"/>
    </row>
    <row r="158" spans="1:11" x14ac:dyDescent="0.3">
      <c r="B158" s="45" t="s">
        <v>24</v>
      </c>
      <c r="C158" s="39"/>
      <c r="D158" s="32"/>
      <c r="E158" s="41">
        <f>SUM(D150:D157)</f>
        <v>1228000</v>
      </c>
    </row>
    <row r="159" spans="1:11" x14ac:dyDescent="0.3">
      <c r="B159" s="102"/>
      <c r="C159" s="34"/>
      <c r="D159" s="33"/>
      <c r="E159" s="33"/>
    </row>
    <row r="160" spans="1:11" x14ac:dyDescent="0.3">
      <c r="B160" s="123" t="s">
        <v>124</v>
      </c>
      <c r="C160" s="124"/>
      <c r="D160" s="32"/>
      <c r="E160" s="65"/>
    </row>
    <row r="161" spans="1:11" ht="101.25" customHeight="1" x14ac:dyDescent="0.3">
      <c r="B161" s="181" t="s">
        <v>125</v>
      </c>
      <c r="C161" s="173"/>
      <c r="D161" s="173"/>
      <c r="E161" s="173"/>
      <c r="F161" s="4"/>
      <c r="G161" s="4"/>
      <c r="H161" s="4"/>
      <c r="I161" s="4"/>
      <c r="J161" s="4"/>
      <c r="K161" s="4"/>
    </row>
    <row r="162" spans="1:11" ht="18.75" customHeight="1" x14ac:dyDescent="0.3">
      <c r="B162" s="32" t="s">
        <v>126</v>
      </c>
      <c r="C162" s="38" t="s">
        <v>127</v>
      </c>
      <c r="D162" s="26">
        <f>250*4*120</f>
        <v>120000</v>
      </c>
      <c r="E162" s="93"/>
      <c r="F162" s="4"/>
      <c r="G162" s="4"/>
      <c r="H162" s="4"/>
      <c r="I162" s="4"/>
      <c r="J162" s="4"/>
      <c r="K162" s="4"/>
    </row>
    <row r="163" spans="1:11" s="7" customFormat="1" x14ac:dyDescent="0.3">
      <c r="A163" s="84"/>
      <c r="B163" s="39" t="s">
        <v>24</v>
      </c>
      <c r="C163" s="41"/>
      <c r="D163" s="52"/>
      <c r="E163" s="41">
        <f>SUM(D162:D162)</f>
        <v>120000</v>
      </c>
    </row>
    <row r="164" spans="1:11" s="7" customFormat="1" x14ac:dyDescent="0.3">
      <c r="A164" s="84"/>
      <c r="B164" s="102"/>
      <c r="C164" s="34"/>
      <c r="D164" s="33"/>
      <c r="E164" s="33"/>
    </row>
    <row r="165" spans="1:11" s="7" customFormat="1" x14ac:dyDescent="0.3">
      <c r="A165" s="84"/>
      <c r="B165" s="195" t="s">
        <v>128</v>
      </c>
      <c r="C165" s="189"/>
      <c r="D165" s="32"/>
      <c r="E165" s="32"/>
    </row>
    <row r="166" spans="1:11" s="7" customFormat="1" ht="49.5" customHeight="1" x14ac:dyDescent="0.3">
      <c r="A166" s="84"/>
      <c r="B166" s="182" t="s">
        <v>129</v>
      </c>
      <c r="C166" s="173"/>
      <c r="D166" s="173"/>
      <c r="E166" s="173"/>
    </row>
    <row r="167" spans="1:11" s="7" customFormat="1" x14ac:dyDescent="0.3">
      <c r="A167" s="84"/>
      <c r="B167" s="36" t="s">
        <v>130</v>
      </c>
      <c r="C167" s="23"/>
      <c r="D167" s="35">
        <f>5000000+1000000</f>
        <v>6000000</v>
      </c>
      <c r="E167" s="32"/>
    </row>
    <row r="168" spans="1:11" s="7" customFormat="1" x14ac:dyDescent="0.3">
      <c r="A168" s="84"/>
      <c r="B168" s="36" t="s">
        <v>131</v>
      </c>
      <c r="C168" s="23"/>
      <c r="D168" s="35">
        <f>SUM(70000*7)</f>
        <v>490000</v>
      </c>
      <c r="E168" s="32"/>
    </row>
    <row r="169" spans="1:11" s="7" customFormat="1" x14ac:dyDescent="0.3">
      <c r="A169" s="84"/>
      <c r="B169" s="39" t="s">
        <v>24</v>
      </c>
      <c r="C169" s="41"/>
      <c r="D169" s="52"/>
      <c r="E169" s="41">
        <f>SUM(D167:D168)</f>
        <v>6490000</v>
      </c>
    </row>
    <row r="170" spans="1:11" s="7" customFormat="1" x14ac:dyDescent="0.3">
      <c r="A170" s="85"/>
      <c r="B170" s="102"/>
      <c r="C170" s="34"/>
      <c r="D170" s="33"/>
      <c r="E170" s="33"/>
    </row>
    <row r="171" spans="1:11" x14ac:dyDescent="0.3">
      <c r="B171" s="104"/>
      <c r="C171" s="125" t="s">
        <v>132</v>
      </c>
      <c r="D171" s="43"/>
      <c r="E171" s="72">
        <f>+E34+E44+E57+E72+E78+E85+E94+E104+E109+E116+E121+E126+E131+E136+E141+E146+E158+E163+E169</f>
        <v>39674000</v>
      </c>
    </row>
    <row r="172" spans="1:11" x14ac:dyDescent="0.3">
      <c r="B172" s="126" t="s">
        <v>133</v>
      </c>
      <c r="C172" s="127"/>
      <c r="D172" s="31"/>
      <c r="E172" s="65"/>
    </row>
    <row r="173" spans="1:11" x14ac:dyDescent="0.3">
      <c r="B173" s="128"/>
      <c r="C173" s="129"/>
      <c r="D173" s="44"/>
      <c r="E173" s="44"/>
    </row>
    <row r="174" spans="1:11" ht="18.75" customHeight="1" x14ac:dyDescent="0.3">
      <c r="B174" s="41" t="s">
        <v>134</v>
      </c>
      <c r="C174" s="104"/>
      <c r="D174" s="32"/>
      <c r="E174" s="93"/>
    </row>
    <row r="175" spans="1:11" ht="75" customHeight="1" x14ac:dyDescent="0.3">
      <c r="B175" s="176" t="s">
        <v>135</v>
      </c>
      <c r="C175" s="173"/>
      <c r="D175" s="173"/>
      <c r="E175" s="173"/>
    </row>
    <row r="176" spans="1:11" ht="37.5" x14ac:dyDescent="0.3">
      <c r="B176" s="32" t="s">
        <v>136</v>
      </c>
      <c r="C176" s="26"/>
      <c r="D176" s="26">
        <v>1120000</v>
      </c>
      <c r="E176" s="32"/>
    </row>
    <row r="177" spans="2:11" x14ac:dyDescent="0.3">
      <c r="B177" s="45" t="s">
        <v>24</v>
      </c>
      <c r="C177" s="104"/>
      <c r="D177" s="32"/>
      <c r="E177" s="41">
        <f>D176</f>
        <v>1120000</v>
      </c>
    </row>
    <row r="178" spans="2:11" x14ac:dyDescent="0.3">
      <c r="B178" s="102"/>
      <c r="C178" s="34"/>
      <c r="D178" s="33"/>
      <c r="E178" s="33"/>
    </row>
    <row r="179" spans="2:11" x14ac:dyDescent="0.3">
      <c r="B179" s="106" t="s">
        <v>137</v>
      </c>
      <c r="C179" s="130"/>
      <c r="D179" s="131"/>
      <c r="E179" s="32"/>
    </row>
    <row r="180" spans="2:11" ht="37.5" x14ac:dyDescent="0.3">
      <c r="B180" s="105" t="s">
        <v>138</v>
      </c>
      <c r="C180" s="96"/>
      <c r="D180" s="96"/>
      <c r="E180" s="96"/>
    </row>
    <row r="181" spans="2:11" x14ac:dyDescent="0.3">
      <c r="B181" s="198" t="s">
        <v>139</v>
      </c>
      <c r="C181" s="189"/>
      <c r="D181" s="35">
        <v>500000</v>
      </c>
    </row>
    <row r="182" spans="2:11" ht="37.5" x14ac:dyDescent="0.3">
      <c r="B182" s="108" t="s">
        <v>140</v>
      </c>
      <c r="C182" s="108"/>
      <c r="D182" s="35">
        <v>500000</v>
      </c>
      <c r="E182" s="65"/>
    </row>
    <row r="183" spans="2:11" x14ac:dyDescent="0.3">
      <c r="B183" s="45" t="s">
        <v>24</v>
      </c>
      <c r="C183" s="52"/>
      <c r="D183" s="28"/>
      <c r="E183" s="41">
        <f>SUM(D181:D182)</f>
        <v>1000000</v>
      </c>
    </row>
    <row r="184" spans="2:11" ht="18.75" customHeight="1" x14ac:dyDescent="0.3">
      <c r="B184" s="132"/>
      <c r="C184" s="132"/>
      <c r="D184" s="133"/>
      <c r="E184" s="133"/>
      <c r="F184" s="4"/>
      <c r="G184" s="4"/>
      <c r="H184" s="4"/>
      <c r="I184" s="4"/>
      <c r="J184" s="4"/>
      <c r="K184" s="4"/>
    </row>
    <row r="185" spans="2:11" x14ac:dyDescent="0.3">
      <c r="B185" s="106" t="s">
        <v>141</v>
      </c>
      <c r="C185" s="130"/>
      <c r="D185" s="131"/>
      <c r="E185" s="36"/>
    </row>
    <row r="186" spans="2:11" ht="63.75" customHeight="1" x14ac:dyDescent="0.3">
      <c r="B186" s="172" t="s">
        <v>382</v>
      </c>
      <c r="C186" s="173"/>
      <c r="D186" s="173"/>
      <c r="E186" s="173"/>
    </row>
    <row r="187" spans="2:11" ht="37.5" x14ac:dyDescent="0.3">
      <c r="B187" s="108" t="s">
        <v>142</v>
      </c>
      <c r="C187" s="108"/>
      <c r="D187" s="35">
        <v>1000000</v>
      </c>
    </row>
    <row r="188" spans="2:11" x14ac:dyDescent="0.3">
      <c r="B188" s="45" t="s">
        <v>24</v>
      </c>
      <c r="C188" s="52"/>
      <c r="D188" s="28"/>
      <c r="E188" s="41">
        <f>SUM(D187)</f>
        <v>1000000</v>
      </c>
    </row>
    <row r="189" spans="2:11" x14ac:dyDescent="0.3">
      <c r="B189" s="132"/>
      <c r="C189" s="96"/>
      <c r="D189" s="96"/>
      <c r="E189" s="73"/>
      <c r="F189" s="4"/>
      <c r="G189" s="4"/>
      <c r="H189" s="4"/>
      <c r="I189" s="4"/>
      <c r="J189" s="4"/>
      <c r="K189" s="4"/>
    </row>
    <row r="190" spans="2:11" x14ac:dyDescent="0.3">
      <c r="B190" s="119" t="s">
        <v>143</v>
      </c>
      <c r="C190" s="52"/>
      <c r="D190" s="28"/>
      <c r="E190" s="31"/>
    </row>
    <row r="191" spans="2:11" ht="69.75" customHeight="1" x14ac:dyDescent="0.3">
      <c r="B191" s="172" t="s">
        <v>144</v>
      </c>
      <c r="C191" s="183"/>
      <c r="D191" s="183"/>
      <c r="E191" s="183"/>
    </row>
    <row r="192" spans="2:11" x14ac:dyDescent="0.3">
      <c r="B192" s="108" t="s">
        <v>143</v>
      </c>
      <c r="C192" s="109"/>
      <c r="D192" s="25">
        <f>10000000-2300000</f>
        <v>7700000</v>
      </c>
      <c r="E192" s="32"/>
    </row>
    <row r="193" spans="1:11" ht="18.75" customHeight="1" x14ac:dyDescent="0.3">
      <c r="B193" s="45" t="s">
        <v>24</v>
      </c>
      <c r="C193" s="52"/>
      <c r="D193" s="28"/>
      <c r="E193" s="41">
        <f>SUM(D192:D192)</f>
        <v>7700000</v>
      </c>
    </row>
    <row r="194" spans="1:11" x14ac:dyDescent="0.3">
      <c r="B194" s="132"/>
      <c r="C194" s="96"/>
      <c r="D194" s="96"/>
      <c r="E194" s="96"/>
    </row>
    <row r="195" spans="1:11" x14ac:dyDescent="0.3">
      <c r="B195" s="41" t="s">
        <v>145</v>
      </c>
      <c r="C195" s="41"/>
      <c r="D195" s="32"/>
    </row>
    <row r="196" spans="1:11" ht="63" customHeight="1" x14ac:dyDescent="0.3">
      <c r="B196" s="179" t="s">
        <v>146</v>
      </c>
      <c r="C196" s="173"/>
      <c r="D196" s="173"/>
      <c r="E196" s="173"/>
    </row>
    <row r="197" spans="1:11" x14ac:dyDescent="0.3">
      <c r="B197" s="98" t="s">
        <v>147</v>
      </c>
      <c r="C197" s="32" t="s">
        <v>279</v>
      </c>
      <c r="D197" s="32">
        <v>150000</v>
      </c>
      <c r="E197" s="131"/>
      <c r="F197" s="4"/>
      <c r="G197" s="4"/>
      <c r="H197" s="4"/>
      <c r="I197" s="4"/>
      <c r="J197" s="4"/>
      <c r="K197" s="4"/>
    </row>
    <row r="198" spans="1:11" s="11" customFormat="1" ht="18.75" customHeight="1" x14ac:dyDescent="0.3">
      <c r="A198" s="84"/>
      <c r="B198" s="111" t="s">
        <v>24</v>
      </c>
      <c r="C198" s="115"/>
      <c r="D198" s="32"/>
      <c r="E198" s="93"/>
      <c r="F198" s="10"/>
      <c r="G198" s="10"/>
      <c r="H198" s="10"/>
      <c r="I198" s="10"/>
      <c r="J198" s="10"/>
      <c r="K198" s="10"/>
    </row>
    <row r="199" spans="1:11" x14ac:dyDescent="0.3">
      <c r="B199" s="189"/>
      <c r="C199" s="189"/>
      <c r="D199" s="189"/>
      <c r="E199" s="45">
        <f>SUM(D197)</f>
        <v>150000</v>
      </c>
      <c r="F199" s="4"/>
      <c r="G199" s="4"/>
      <c r="H199" s="4"/>
      <c r="I199" s="4"/>
      <c r="J199" s="4"/>
      <c r="K199" s="4"/>
    </row>
    <row r="200" spans="1:11" x14ac:dyDescent="0.3">
      <c r="B200" s="96"/>
      <c r="C200" s="96"/>
      <c r="D200" s="96"/>
      <c r="E200" s="96"/>
      <c r="F200" s="8"/>
      <c r="G200" s="8"/>
      <c r="H200" s="8"/>
      <c r="I200" s="8"/>
      <c r="J200" s="8"/>
      <c r="K200" s="8"/>
    </row>
    <row r="201" spans="1:11" x14ac:dyDescent="0.3">
      <c r="B201" s="41" t="s">
        <v>148</v>
      </c>
      <c r="C201" s="41"/>
      <c r="D201" s="32"/>
      <c r="E201" s="107"/>
      <c r="F201" s="4"/>
      <c r="G201" s="4"/>
      <c r="H201" s="4"/>
      <c r="I201" s="4"/>
      <c r="J201" s="4"/>
      <c r="K201" s="4"/>
    </row>
    <row r="202" spans="1:11" ht="86.25" customHeight="1" x14ac:dyDescent="0.3">
      <c r="B202" s="179" t="s">
        <v>149</v>
      </c>
      <c r="C202" s="173"/>
      <c r="D202" s="173"/>
      <c r="E202" s="173"/>
      <c r="F202" s="4"/>
      <c r="G202" s="4"/>
      <c r="H202" s="4"/>
      <c r="I202" s="4"/>
      <c r="J202" s="4"/>
      <c r="K202" s="4"/>
    </row>
    <row r="203" spans="1:11" x14ac:dyDescent="0.3">
      <c r="B203" s="98" t="s">
        <v>147</v>
      </c>
      <c r="C203" s="32" t="s">
        <v>150</v>
      </c>
      <c r="D203" s="32">
        <v>180000</v>
      </c>
      <c r="E203" s="88"/>
      <c r="F203" s="4"/>
      <c r="G203" s="4"/>
      <c r="H203" s="4"/>
      <c r="I203" s="4"/>
      <c r="J203" s="4"/>
      <c r="K203" s="4"/>
    </row>
    <row r="204" spans="1:11" x14ac:dyDescent="0.3">
      <c r="B204" s="52" t="s">
        <v>151</v>
      </c>
      <c r="C204" s="115" t="s">
        <v>152</v>
      </c>
      <c r="D204" s="32">
        <v>40000</v>
      </c>
      <c r="E204" s="131"/>
      <c r="F204" s="4"/>
      <c r="G204" s="4"/>
      <c r="H204" s="4"/>
      <c r="I204" s="4"/>
      <c r="J204" s="4"/>
      <c r="K204" s="4"/>
    </row>
    <row r="205" spans="1:11" ht="18.75" customHeight="1" x14ac:dyDescent="0.3">
      <c r="B205" s="39" t="s">
        <v>24</v>
      </c>
      <c r="C205" s="104"/>
      <c r="D205" s="32"/>
      <c r="E205" s="39">
        <f>SUM(D203:D204)</f>
        <v>220000</v>
      </c>
      <c r="F205" s="4"/>
      <c r="G205" s="4"/>
      <c r="H205" s="4"/>
      <c r="I205" s="4"/>
      <c r="J205" s="4"/>
      <c r="K205" s="4"/>
    </row>
    <row r="206" spans="1:11" x14ac:dyDescent="0.3">
      <c r="B206" s="180"/>
      <c r="C206" s="180"/>
      <c r="D206" s="180"/>
      <c r="E206" s="173"/>
      <c r="F206" s="4"/>
      <c r="G206" s="4"/>
      <c r="H206" s="4"/>
      <c r="I206" s="4"/>
      <c r="J206" s="4"/>
      <c r="K206" s="4"/>
    </row>
    <row r="207" spans="1:11" x14ac:dyDescent="0.3">
      <c r="B207" s="41" t="s">
        <v>153</v>
      </c>
      <c r="C207" s="41"/>
      <c r="D207" s="32"/>
      <c r="F207" s="4"/>
      <c r="G207" s="4"/>
      <c r="H207" s="4"/>
      <c r="I207" s="4"/>
      <c r="J207" s="4"/>
      <c r="K207" s="4"/>
    </row>
    <row r="208" spans="1:11" ht="50.25" customHeight="1" x14ac:dyDescent="0.3">
      <c r="B208" s="179" t="s">
        <v>380</v>
      </c>
      <c r="C208" s="173"/>
      <c r="D208" s="173"/>
      <c r="E208" s="173"/>
      <c r="F208" s="4"/>
      <c r="G208" s="4"/>
      <c r="H208" s="4"/>
      <c r="I208" s="4"/>
      <c r="J208" s="4"/>
      <c r="K208" s="4"/>
    </row>
    <row r="209" spans="1:11" x14ac:dyDescent="0.3">
      <c r="A209" s="86"/>
      <c r="B209" s="32" t="s">
        <v>154</v>
      </c>
      <c r="C209" s="32"/>
      <c r="D209" s="32">
        <v>200000</v>
      </c>
      <c r="E209" s="41"/>
      <c r="F209" s="4"/>
      <c r="G209" s="4"/>
      <c r="H209" s="4"/>
      <c r="I209" s="4"/>
      <c r="J209" s="4"/>
      <c r="K209" s="4"/>
    </row>
    <row r="210" spans="1:11" ht="18.75" customHeight="1" x14ac:dyDescent="0.3">
      <c r="A210" s="86"/>
      <c r="B210" s="39" t="s">
        <v>24</v>
      </c>
      <c r="C210" s="104"/>
      <c r="D210" s="32"/>
      <c r="E210" s="39">
        <f>SUM(D209)</f>
        <v>200000</v>
      </c>
      <c r="F210" s="4"/>
      <c r="G210" s="4"/>
      <c r="H210" s="4"/>
      <c r="I210" s="4"/>
      <c r="J210" s="4"/>
      <c r="K210" s="4"/>
    </row>
    <row r="211" spans="1:11" x14ac:dyDescent="0.3">
      <c r="B211" s="102"/>
      <c r="C211" s="34"/>
      <c r="D211" s="33"/>
      <c r="E211" s="33"/>
      <c r="F211" s="4"/>
      <c r="G211" s="4"/>
      <c r="H211" s="4"/>
      <c r="I211" s="4"/>
      <c r="J211" s="4"/>
      <c r="K211" s="4"/>
    </row>
    <row r="212" spans="1:11" x14ac:dyDescent="0.3">
      <c r="B212" s="41" t="s">
        <v>155</v>
      </c>
      <c r="C212" s="41"/>
      <c r="D212" s="32"/>
      <c r="F212" s="4"/>
      <c r="G212" s="4"/>
      <c r="H212" s="4"/>
      <c r="I212" s="4"/>
      <c r="J212" s="4"/>
      <c r="K212" s="4"/>
    </row>
    <row r="213" spans="1:11" ht="139.5" customHeight="1" x14ac:dyDescent="0.3">
      <c r="B213" s="179" t="s">
        <v>156</v>
      </c>
      <c r="C213" s="173"/>
      <c r="D213" s="173"/>
      <c r="E213" s="173"/>
      <c r="F213" s="4"/>
      <c r="G213" s="4"/>
      <c r="H213" s="4"/>
      <c r="I213" s="4"/>
      <c r="J213" s="4"/>
      <c r="K213" s="4"/>
    </row>
    <row r="214" spans="1:11" x14ac:dyDescent="0.3">
      <c r="B214" s="25" t="s">
        <v>157</v>
      </c>
      <c r="C214" s="36"/>
      <c r="D214" s="36">
        <v>7700000</v>
      </c>
      <c r="E214" s="41"/>
    </row>
    <row r="215" spans="1:11" ht="18.75" customHeight="1" x14ac:dyDescent="0.3">
      <c r="B215" s="39" t="s">
        <v>24</v>
      </c>
      <c r="C215" s="32"/>
      <c r="D215" s="32"/>
      <c r="E215" s="39">
        <f>SUM(D214)</f>
        <v>7700000</v>
      </c>
    </row>
    <row r="216" spans="1:11" x14ac:dyDescent="0.3">
      <c r="B216" s="102"/>
      <c r="C216" s="34"/>
      <c r="D216" s="33"/>
      <c r="E216" s="33"/>
      <c r="F216" s="4"/>
      <c r="G216" s="4"/>
      <c r="H216" s="4"/>
      <c r="I216" s="4"/>
      <c r="J216" s="4"/>
      <c r="K216" s="4"/>
    </row>
    <row r="217" spans="1:11" x14ac:dyDescent="0.3">
      <c r="B217" s="41" t="s">
        <v>369</v>
      </c>
      <c r="C217" s="41"/>
      <c r="D217" s="32"/>
      <c r="F217" s="4"/>
      <c r="G217" s="4"/>
      <c r="H217" s="4"/>
      <c r="I217" s="4"/>
      <c r="J217" s="4"/>
      <c r="K217" s="4"/>
    </row>
    <row r="218" spans="1:11" ht="67.5" customHeight="1" x14ac:dyDescent="0.3">
      <c r="B218" s="179" t="s">
        <v>372</v>
      </c>
      <c r="C218" s="179"/>
      <c r="D218" s="179"/>
      <c r="E218" s="185"/>
      <c r="F218" s="4"/>
      <c r="G218" s="4"/>
      <c r="H218" s="4"/>
      <c r="I218" s="4"/>
      <c r="J218" s="4"/>
      <c r="K218" s="4"/>
    </row>
    <row r="219" spans="1:11" x14ac:dyDescent="0.3">
      <c r="B219" s="25" t="s">
        <v>375</v>
      </c>
      <c r="C219" s="36"/>
      <c r="D219" s="36">
        <v>18000000</v>
      </c>
      <c r="E219" s="41"/>
    </row>
    <row r="220" spans="1:11" x14ac:dyDescent="0.3">
      <c r="B220" s="39" t="s">
        <v>24</v>
      </c>
      <c r="C220" s="32"/>
      <c r="D220" s="32"/>
      <c r="E220" s="39">
        <f>+D219</f>
        <v>18000000</v>
      </c>
    </row>
    <row r="221" spans="1:11" x14ac:dyDescent="0.3">
      <c r="B221" s="102"/>
      <c r="C221" s="34"/>
      <c r="D221" s="33"/>
      <c r="E221" s="132"/>
      <c r="F221" s="4"/>
      <c r="G221" s="4"/>
      <c r="H221" s="4"/>
      <c r="I221" s="4"/>
      <c r="J221" s="4"/>
      <c r="K221" s="4"/>
    </row>
    <row r="222" spans="1:11" ht="50.25" customHeight="1" x14ac:dyDescent="0.3">
      <c r="B222" s="186" t="s">
        <v>352</v>
      </c>
      <c r="C222" s="175"/>
      <c r="D222" s="175"/>
      <c r="E222" s="134"/>
      <c r="F222" s="62"/>
      <c r="G222" s="62"/>
      <c r="H222" s="62"/>
      <c r="I222" s="62"/>
      <c r="J222" s="62"/>
      <c r="K222" s="62"/>
    </row>
    <row r="223" spans="1:11" x14ac:dyDescent="0.3">
      <c r="B223" s="117"/>
      <c r="C223" s="41"/>
      <c r="D223" s="32"/>
      <c r="E223" s="135"/>
      <c r="F223" s="62"/>
      <c r="G223" s="62"/>
      <c r="H223" s="62"/>
      <c r="I223" s="62"/>
      <c r="J223" s="62"/>
      <c r="K223" s="62"/>
    </row>
    <row r="224" spans="1:11" ht="57.75" customHeight="1" x14ac:dyDescent="0.3">
      <c r="B224" s="187" t="s">
        <v>359</v>
      </c>
      <c r="C224" s="178"/>
      <c r="D224" s="178"/>
      <c r="E224" s="178"/>
      <c r="F224" s="62"/>
      <c r="G224" s="62"/>
      <c r="H224" s="62"/>
      <c r="I224" s="62"/>
      <c r="J224" s="62"/>
      <c r="K224" s="62"/>
    </row>
    <row r="225" spans="2:11" x14ac:dyDescent="0.3">
      <c r="B225" s="174" t="s">
        <v>356</v>
      </c>
      <c r="C225" s="175"/>
      <c r="D225" s="31"/>
      <c r="E225" s="134"/>
      <c r="F225" s="62"/>
      <c r="G225" s="62"/>
      <c r="H225" s="62"/>
      <c r="I225" s="62"/>
      <c r="J225" s="62"/>
      <c r="K225" s="62"/>
    </row>
    <row r="226" spans="2:11" x14ac:dyDescent="0.3">
      <c r="B226" s="136" t="s">
        <v>353</v>
      </c>
      <c r="C226" s="65"/>
      <c r="D226" s="31">
        <v>100000</v>
      </c>
      <c r="E226" s="134"/>
      <c r="F226" s="62"/>
      <c r="G226" s="62"/>
      <c r="H226" s="62"/>
      <c r="I226" s="62"/>
      <c r="J226" s="62"/>
      <c r="K226" s="62"/>
    </row>
    <row r="227" spans="2:11" x14ac:dyDescent="0.3">
      <c r="B227" s="136" t="s">
        <v>354</v>
      </c>
      <c r="C227" s="65"/>
      <c r="D227" s="31">
        <v>100000</v>
      </c>
      <c r="E227" s="134"/>
      <c r="F227" s="62"/>
      <c r="G227" s="62"/>
      <c r="H227" s="62"/>
      <c r="I227" s="62"/>
      <c r="J227" s="62"/>
      <c r="K227" s="62"/>
    </row>
    <row r="228" spans="2:11" x14ac:dyDescent="0.3">
      <c r="B228" s="136" t="s">
        <v>355</v>
      </c>
      <c r="C228" s="65"/>
      <c r="D228" s="31">
        <v>100000</v>
      </c>
      <c r="E228" s="134"/>
      <c r="F228" s="62"/>
      <c r="G228" s="62"/>
      <c r="H228" s="62"/>
      <c r="I228" s="62"/>
      <c r="J228" s="62"/>
      <c r="K228" s="62"/>
    </row>
    <row r="229" spans="2:11" x14ac:dyDescent="0.3">
      <c r="B229" s="137" t="s">
        <v>24</v>
      </c>
      <c r="C229" s="65"/>
      <c r="D229" s="31"/>
      <c r="E229" s="64">
        <f>+D226+D227+D228</f>
        <v>300000</v>
      </c>
      <c r="F229" s="62"/>
      <c r="G229" s="62"/>
      <c r="H229" s="62"/>
      <c r="I229" s="62"/>
      <c r="J229" s="62"/>
      <c r="K229" s="62"/>
    </row>
    <row r="230" spans="2:11" x14ac:dyDescent="0.3">
      <c r="B230" s="138"/>
      <c r="C230" s="139"/>
      <c r="D230" s="63"/>
      <c r="E230" s="140"/>
    </row>
    <row r="231" spans="2:11" ht="18.75" customHeight="1" x14ac:dyDescent="0.3">
      <c r="B231" s="112" t="s">
        <v>319</v>
      </c>
      <c r="C231" s="46"/>
      <c r="D231" s="25"/>
      <c r="E231" s="32"/>
    </row>
    <row r="232" spans="2:11" ht="75" customHeight="1" x14ac:dyDescent="0.3">
      <c r="B232" s="176" t="s">
        <v>159</v>
      </c>
      <c r="C232" s="173"/>
      <c r="D232" s="173"/>
      <c r="E232" s="173"/>
      <c r="F232" s="6"/>
      <c r="G232" s="6"/>
      <c r="H232" s="6"/>
      <c r="I232" s="6"/>
      <c r="J232" s="6"/>
      <c r="K232" s="6"/>
    </row>
    <row r="233" spans="2:11" x14ac:dyDescent="0.3">
      <c r="B233" s="107" t="s">
        <v>160</v>
      </c>
      <c r="C233" s="36"/>
      <c r="D233" s="36">
        <v>1000000</v>
      </c>
      <c r="E233" s="46"/>
      <c r="F233" s="7"/>
      <c r="G233" s="7"/>
      <c r="H233" s="7"/>
      <c r="I233" s="7"/>
      <c r="J233" s="7"/>
      <c r="K233" s="7"/>
    </row>
    <row r="234" spans="2:11" x14ac:dyDescent="0.3">
      <c r="B234" s="52"/>
      <c r="C234" s="46" t="s">
        <v>158</v>
      </c>
      <c r="D234" s="36"/>
      <c r="E234" s="46">
        <f>SUM(D233)</f>
        <v>1000000</v>
      </c>
    </row>
    <row r="235" spans="2:11" x14ac:dyDescent="0.3">
      <c r="B235" s="102"/>
      <c r="C235" s="34"/>
      <c r="D235" s="47"/>
      <c r="E235" s="34"/>
    </row>
    <row r="236" spans="2:11" x14ac:dyDescent="0.3">
      <c r="B236" s="66"/>
      <c r="C236" s="141" t="s">
        <v>161</v>
      </c>
      <c r="D236" s="74"/>
      <c r="E236" s="75">
        <f>+E177+E183+E188+E193+E199+E205+E210+E215+E220+E229+E234</f>
        <v>38390000</v>
      </c>
    </row>
    <row r="237" spans="2:11" x14ac:dyDescent="0.3">
      <c r="B237" s="142" t="s">
        <v>162</v>
      </c>
      <c r="C237" s="143"/>
      <c r="D237" s="48"/>
      <c r="E237" s="52"/>
      <c r="F237" s="6"/>
      <c r="G237" s="6"/>
      <c r="H237" s="6"/>
      <c r="I237" s="6"/>
      <c r="J237" s="6"/>
      <c r="K237" s="6"/>
    </row>
    <row r="238" spans="2:11" ht="365.25" customHeight="1" x14ac:dyDescent="0.3">
      <c r="B238" s="177" t="s">
        <v>163</v>
      </c>
      <c r="C238" s="178"/>
      <c r="D238" s="178"/>
      <c r="E238" s="178"/>
      <c r="F238" s="12"/>
      <c r="G238" s="12"/>
      <c r="H238" s="12"/>
      <c r="I238" s="12"/>
      <c r="J238" s="12"/>
      <c r="K238" s="12"/>
    </row>
    <row r="239" spans="2:11" x14ac:dyDescent="0.3">
      <c r="B239" s="19" t="s">
        <v>164</v>
      </c>
      <c r="C239" s="19"/>
      <c r="D239" s="52"/>
      <c r="E239" s="46"/>
      <c r="F239" s="12"/>
      <c r="G239" s="12"/>
      <c r="H239" s="12"/>
      <c r="I239" s="12"/>
      <c r="J239" s="12"/>
      <c r="K239" s="12"/>
    </row>
    <row r="240" spans="2:11" x14ac:dyDescent="0.3">
      <c r="B240" s="144"/>
      <c r="C240" s="96"/>
      <c r="D240" s="96"/>
      <c r="E240" s="96"/>
      <c r="F240" s="12"/>
      <c r="G240" s="12"/>
      <c r="H240" s="12"/>
      <c r="I240" s="12"/>
      <c r="J240" s="12"/>
      <c r="K240" s="12"/>
    </row>
    <row r="241" spans="2:11" x14ac:dyDescent="0.3">
      <c r="B241" s="52" t="s">
        <v>165</v>
      </c>
      <c r="C241" s="52" t="s">
        <v>166</v>
      </c>
      <c r="D241" s="49">
        <f>10000*7</f>
        <v>70000</v>
      </c>
      <c r="E241" s="46"/>
      <c r="F241" s="7"/>
      <c r="G241" s="7"/>
      <c r="H241" s="7"/>
      <c r="I241" s="7"/>
      <c r="J241" s="7"/>
      <c r="K241" s="7"/>
    </row>
    <row r="242" spans="2:11" x14ac:dyDescent="0.3">
      <c r="B242" s="52" t="s">
        <v>167</v>
      </c>
      <c r="C242" s="52" t="s">
        <v>168</v>
      </c>
      <c r="D242" s="49">
        <f>133000*6</f>
        <v>798000</v>
      </c>
      <c r="F242" s="7"/>
      <c r="G242" s="7"/>
      <c r="H242" s="7"/>
      <c r="I242" s="7"/>
      <c r="J242" s="7"/>
      <c r="K242" s="7"/>
    </row>
    <row r="243" spans="2:11" x14ac:dyDescent="0.3">
      <c r="B243" s="52" t="s">
        <v>169</v>
      </c>
      <c r="C243" s="52" t="s">
        <v>170</v>
      </c>
      <c r="D243" s="49">
        <v>80000</v>
      </c>
      <c r="E243" s="68"/>
    </row>
    <row r="244" spans="2:11" ht="18.75" customHeight="1" x14ac:dyDescent="0.3">
      <c r="B244" s="52" t="s">
        <v>171</v>
      </c>
      <c r="C244" s="52" t="s">
        <v>280</v>
      </c>
      <c r="D244" s="49">
        <f>44500*12</f>
        <v>534000</v>
      </c>
      <c r="E244" s="46"/>
    </row>
    <row r="245" spans="2:11" x14ac:dyDescent="0.3">
      <c r="B245" s="52" t="s">
        <v>172</v>
      </c>
      <c r="C245" s="52" t="s">
        <v>173</v>
      </c>
      <c r="D245" s="49">
        <f>23000*6</f>
        <v>138000</v>
      </c>
      <c r="E245" s="52"/>
      <c r="F245" s="4"/>
      <c r="G245" s="4"/>
      <c r="H245" s="4"/>
      <c r="I245" s="4"/>
      <c r="J245" s="4"/>
      <c r="K245" s="4"/>
    </row>
    <row r="246" spans="2:11" x14ac:dyDescent="0.3">
      <c r="B246" s="145" t="s">
        <v>24</v>
      </c>
      <c r="C246" s="50"/>
      <c r="D246" s="50"/>
      <c r="E246" s="46">
        <f>SUM(D241:D245)</f>
        <v>1620000</v>
      </c>
    </row>
    <row r="247" spans="2:11" x14ac:dyDescent="0.3">
      <c r="B247" s="19" t="s">
        <v>174</v>
      </c>
      <c r="C247" s="19"/>
      <c r="D247" s="52"/>
    </row>
    <row r="248" spans="2:11" x14ac:dyDescent="0.3">
      <c r="B248" s="144" t="s">
        <v>175</v>
      </c>
      <c r="C248" s="96"/>
      <c r="D248" s="96"/>
      <c r="E248" s="34"/>
      <c r="F248" s="4"/>
      <c r="G248" s="4"/>
      <c r="H248" s="4"/>
      <c r="I248" s="4"/>
      <c r="J248" s="4"/>
      <c r="K248" s="4"/>
    </row>
    <row r="249" spans="2:11" x14ac:dyDescent="0.3">
      <c r="B249" s="52" t="s">
        <v>176</v>
      </c>
      <c r="C249" s="52" t="s">
        <v>177</v>
      </c>
      <c r="D249" s="49">
        <f>60000*2</f>
        <v>120000</v>
      </c>
      <c r="E249" s="36"/>
      <c r="F249" s="4"/>
      <c r="G249" s="4"/>
      <c r="H249" s="4"/>
      <c r="I249" s="4"/>
      <c r="J249" s="4"/>
      <c r="K249" s="4"/>
    </row>
    <row r="250" spans="2:11" x14ac:dyDescent="0.3">
      <c r="B250" s="145" t="s">
        <v>24</v>
      </c>
      <c r="C250" s="50"/>
      <c r="D250" s="50"/>
      <c r="E250" s="46">
        <f>SUM(D249:D249)</f>
        <v>120000</v>
      </c>
    </row>
    <row r="251" spans="2:11" x14ac:dyDescent="0.3">
      <c r="B251" s="146"/>
      <c r="C251" s="147"/>
      <c r="D251" s="51"/>
      <c r="E251" s="34"/>
    </row>
    <row r="252" spans="2:11" x14ac:dyDescent="0.3">
      <c r="B252" s="19" t="s">
        <v>178</v>
      </c>
      <c r="C252" s="52"/>
      <c r="D252" s="52"/>
      <c r="E252" s="66"/>
    </row>
    <row r="253" spans="2:11" ht="38.25" customHeight="1" x14ac:dyDescent="0.3">
      <c r="B253" s="172" t="s">
        <v>179</v>
      </c>
      <c r="C253" s="178"/>
      <c r="D253" s="178"/>
      <c r="E253" s="178"/>
      <c r="F253" s="67"/>
      <c r="G253" s="67"/>
      <c r="H253" s="67"/>
    </row>
    <row r="254" spans="2:11" ht="37.5" x14ac:dyDescent="0.3">
      <c r="B254" s="52" t="s">
        <v>180</v>
      </c>
      <c r="C254" s="104" t="s">
        <v>181</v>
      </c>
      <c r="D254" s="49">
        <v>150000</v>
      </c>
      <c r="E254" s="104"/>
    </row>
    <row r="255" spans="2:11" x14ac:dyDescent="0.3">
      <c r="B255" s="52" t="s">
        <v>182</v>
      </c>
      <c r="C255" s="52" t="s">
        <v>183</v>
      </c>
      <c r="D255" s="49">
        <f>40000*6</f>
        <v>240000</v>
      </c>
      <c r="E255" s="52"/>
      <c r="F255" s="4"/>
      <c r="G255" s="4"/>
      <c r="H255" s="4"/>
      <c r="I255" s="4"/>
      <c r="J255" s="4"/>
      <c r="K255" s="4"/>
    </row>
    <row r="256" spans="2:11" x14ac:dyDescent="0.3">
      <c r="B256" s="52" t="s">
        <v>184</v>
      </c>
      <c r="C256" s="52" t="s">
        <v>53</v>
      </c>
      <c r="D256" s="49">
        <v>60000</v>
      </c>
      <c r="E256" s="50"/>
      <c r="F256" s="4"/>
      <c r="G256" s="4"/>
      <c r="H256" s="4"/>
      <c r="I256" s="4"/>
      <c r="J256" s="4"/>
      <c r="K256" s="4"/>
    </row>
    <row r="257" spans="1:11" x14ac:dyDescent="0.3">
      <c r="B257" s="111" t="s">
        <v>24</v>
      </c>
      <c r="C257" s="52"/>
      <c r="D257" s="52"/>
      <c r="E257" s="46">
        <f>SUM(D254:D256)</f>
        <v>450000</v>
      </c>
      <c r="F257" s="4"/>
      <c r="G257" s="4"/>
      <c r="H257" s="4"/>
      <c r="I257" s="4"/>
      <c r="J257" s="4"/>
      <c r="K257" s="4"/>
    </row>
    <row r="258" spans="1:11" x14ac:dyDescent="0.3">
      <c r="B258" s="146"/>
      <c r="C258" s="147"/>
      <c r="D258" s="51"/>
      <c r="E258" s="51"/>
      <c r="F258" s="4"/>
      <c r="G258" s="4"/>
      <c r="H258" s="4"/>
      <c r="I258" s="4"/>
      <c r="J258" s="4"/>
      <c r="K258" s="4"/>
    </row>
    <row r="259" spans="1:11" x14ac:dyDescent="0.3">
      <c r="B259" s="19" t="s">
        <v>185</v>
      </c>
      <c r="C259" s="52"/>
      <c r="D259" s="52"/>
      <c r="E259" s="50"/>
      <c r="F259" s="4"/>
      <c r="G259" s="4"/>
      <c r="H259" s="4"/>
      <c r="I259" s="4"/>
      <c r="J259" s="4"/>
      <c r="K259" s="4"/>
    </row>
    <row r="260" spans="1:11" ht="39.75" customHeight="1" x14ac:dyDescent="0.3">
      <c r="A260" s="87"/>
      <c r="B260" s="172" t="s">
        <v>186</v>
      </c>
      <c r="C260" s="178"/>
      <c r="D260" s="178"/>
      <c r="E260" s="178"/>
      <c r="F260" s="67"/>
      <c r="G260" s="67"/>
      <c r="H260" s="67"/>
      <c r="I260" s="67"/>
      <c r="J260" s="67"/>
    </row>
    <row r="261" spans="1:11" x14ac:dyDescent="0.3">
      <c r="B261" s="50" t="s">
        <v>187</v>
      </c>
      <c r="C261" s="50" t="s">
        <v>188</v>
      </c>
      <c r="D261" s="53">
        <v>75000</v>
      </c>
    </row>
    <row r="262" spans="1:11" x14ac:dyDescent="0.3">
      <c r="B262" s="50" t="s">
        <v>189</v>
      </c>
      <c r="C262" s="50" t="s">
        <v>190</v>
      </c>
      <c r="D262" s="53">
        <v>40000</v>
      </c>
      <c r="E262" s="52"/>
    </row>
    <row r="263" spans="1:11" x14ac:dyDescent="0.3">
      <c r="B263" s="50" t="s">
        <v>191</v>
      </c>
      <c r="C263" s="50" t="s">
        <v>192</v>
      </c>
      <c r="D263" s="53">
        <v>80000</v>
      </c>
      <c r="E263" s="52"/>
      <c r="F263" s="4"/>
      <c r="G263" s="4"/>
      <c r="H263" s="4"/>
      <c r="I263" s="4"/>
      <c r="J263" s="4"/>
      <c r="K263" s="4"/>
    </row>
    <row r="264" spans="1:11" x14ac:dyDescent="0.3">
      <c r="B264" s="111" t="s">
        <v>24</v>
      </c>
      <c r="C264" s="52"/>
      <c r="D264" s="52"/>
      <c r="E264" s="46">
        <f>SUM(D261:D263)</f>
        <v>195000</v>
      </c>
      <c r="F264" s="4"/>
      <c r="G264" s="4"/>
      <c r="H264" s="4"/>
      <c r="I264" s="4"/>
      <c r="J264" s="4"/>
      <c r="K264" s="4"/>
    </row>
    <row r="265" spans="1:11" x14ac:dyDescent="0.3">
      <c r="B265" s="146"/>
      <c r="C265" s="147"/>
      <c r="D265" s="51"/>
      <c r="E265" s="51"/>
      <c r="F265" s="4"/>
      <c r="G265" s="4"/>
      <c r="H265" s="4"/>
      <c r="I265" s="4"/>
      <c r="J265" s="4"/>
      <c r="K265" s="4"/>
    </row>
    <row r="266" spans="1:11" x14ac:dyDescent="0.3">
      <c r="B266" s="188" t="s">
        <v>193</v>
      </c>
      <c r="C266" s="189"/>
      <c r="D266" s="52"/>
      <c r="E266" s="50"/>
    </row>
    <row r="267" spans="1:11" ht="51.75" customHeight="1" x14ac:dyDescent="0.3">
      <c r="B267" s="182" t="s">
        <v>194</v>
      </c>
      <c r="C267" s="178"/>
      <c r="D267" s="178"/>
      <c r="E267" s="178"/>
      <c r="F267" s="67"/>
      <c r="G267" s="67"/>
      <c r="H267" s="67"/>
      <c r="I267" s="67"/>
      <c r="J267" s="67"/>
      <c r="K267" s="67"/>
    </row>
    <row r="268" spans="1:11" x14ac:dyDescent="0.3">
      <c r="B268" s="52" t="s">
        <v>195</v>
      </c>
      <c r="C268" s="52" t="s">
        <v>196</v>
      </c>
      <c r="D268" s="49">
        <v>250000</v>
      </c>
      <c r="E268" s="69"/>
    </row>
    <row r="269" spans="1:11" x14ac:dyDescent="0.3">
      <c r="B269" s="52" t="s">
        <v>197</v>
      </c>
      <c r="C269" s="52" t="s">
        <v>198</v>
      </c>
      <c r="D269" s="49">
        <v>60000</v>
      </c>
      <c r="E269" s="52"/>
    </row>
    <row r="270" spans="1:11" ht="39" customHeight="1" x14ac:dyDescent="0.3">
      <c r="B270" s="52" t="s">
        <v>199</v>
      </c>
      <c r="C270" s="52" t="s">
        <v>290</v>
      </c>
      <c r="D270" s="49">
        <f>45000*3</f>
        <v>135000</v>
      </c>
      <c r="E270" s="52"/>
      <c r="F270" s="4"/>
      <c r="G270" s="4"/>
      <c r="H270" s="4"/>
      <c r="I270" s="4"/>
      <c r="J270" s="4"/>
      <c r="K270" s="4"/>
    </row>
    <row r="271" spans="1:11" x14ac:dyDescent="0.3">
      <c r="B271" s="52" t="s">
        <v>200</v>
      </c>
      <c r="C271" s="52" t="s">
        <v>55</v>
      </c>
      <c r="D271" s="49">
        <v>300000</v>
      </c>
      <c r="F271" s="4"/>
      <c r="G271" s="4"/>
      <c r="H271" s="4"/>
      <c r="I271" s="4"/>
      <c r="J271" s="4"/>
      <c r="K271" s="4"/>
    </row>
    <row r="272" spans="1:11" x14ac:dyDescent="0.3">
      <c r="B272" s="111" t="s">
        <v>24</v>
      </c>
      <c r="C272" s="111"/>
      <c r="D272" s="49"/>
      <c r="E272" s="46">
        <f>SUM(D268:D271)</f>
        <v>745000</v>
      </c>
      <c r="F272" s="4"/>
      <c r="G272" s="4"/>
      <c r="H272" s="4"/>
      <c r="I272" s="4"/>
      <c r="J272" s="4"/>
      <c r="K272" s="4"/>
    </row>
    <row r="273" spans="2:11" x14ac:dyDescent="0.3">
      <c r="B273" s="148"/>
      <c r="C273" s="149"/>
      <c r="D273" s="54"/>
      <c r="E273" s="54"/>
      <c r="F273" s="4"/>
      <c r="G273" s="4"/>
      <c r="H273" s="4"/>
      <c r="I273" s="4"/>
      <c r="J273" s="4"/>
      <c r="K273" s="4"/>
    </row>
    <row r="274" spans="2:11" x14ac:dyDescent="0.3">
      <c r="C274" s="151" t="s">
        <v>201</v>
      </c>
      <c r="D274" s="74"/>
      <c r="E274" s="76">
        <f>+E246+E250+E257+E264+E272</f>
        <v>3130000</v>
      </c>
    </row>
    <row r="275" spans="2:11" x14ac:dyDescent="0.3">
      <c r="B275" s="37"/>
      <c r="C275" s="46"/>
      <c r="D275" s="25"/>
    </row>
    <row r="276" spans="2:11" x14ac:dyDescent="0.3">
      <c r="B276" s="192" t="s">
        <v>281</v>
      </c>
      <c r="C276" s="193"/>
      <c r="D276" s="36"/>
      <c r="E276" s="69"/>
    </row>
    <row r="277" spans="2:11" x14ac:dyDescent="0.3">
      <c r="B277" s="194"/>
      <c r="C277" s="193"/>
      <c r="D277" s="55"/>
      <c r="E277" s="55"/>
    </row>
    <row r="278" spans="2:11" x14ac:dyDescent="0.3">
      <c r="B278" s="19" t="s">
        <v>385</v>
      </c>
      <c r="C278" s="104"/>
      <c r="D278" s="26"/>
      <c r="E278" s="52"/>
      <c r="F278" s="4"/>
      <c r="G278" s="4"/>
      <c r="H278" s="4"/>
      <c r="I278" s="4"/>
      <c r="J278" s="4"/>
      <c r="K278" s="4"/>
    </row>
    <row r="279" spans="2:11" x14ac:dyDescent="0.3">
      <c r="B279" s="96" t="s">
        <v>282</v>
      </c>
      <c r="C279" s="129"/>
      <c r="D279" s="56"/>
      <c r="E279" s="56"/>
      <c r="F279" s="4"/>
      <c r="G279" s="4"/>
      <c r="H279" s="4"/>
      <c r="I279" s="4"/>
      <c r="J279" s="4"/>
      <c r="K279" s="4"/>
    </row>
    <row r="280" spans="2:11" x14ac:dyDescent="0.3">
      <c r="B280" s="52" t="s">
        <v>202</v>
      </c>
      <c r="C280" s="104" t="s">
        <v>299</v>
      </c>
      <c r="D280" s="26">
        <v>410000</v>
      </c>
      <c r="E280" s="50"/>
      <c r="F280" s="4"/>
      <c r="G280" s="4"/>
      <c r="H280" s="4"/>
      <c r="I280" s="4"/>
      <c r="J280" s="4"/>
      <c r="K280" s="4"/>
    </row>
    <row r="281" spans="2:11" x14ac:dyDescent="0.3">
      <c r="B281" s="109" t="s">
        <v>204</v>
      </c>
      <c r="C281" s="104" t="s">
        <v>300</v>
      </c>
      <c r="D281" s="35">
        <v>216000</v>
      </c>
      <c r="E281" s="50"/>
      <c r="F281" s="4"/>
      <c r="G281" s="4"/>
      <c r="H281" s="4"/>
      <c r="I281" s="4"/>
      <c r="J281" s="4"/>
      <c r="K281" s="4"/>
    </row>
    <row r="282" spans="2:11" x14ac:dyDescent="0.3">
      <c r="B282" s="109" t="s">
        <v>203</v>
      </c>
      <c r="C282" s="104" t="s">
        <v>301</v>
      </c>
      <c r="D282" s="35">
        <v>156000</v>
      </c>
      <c r="E282" s="152"/>
    </row>
    <row r="283" spans="2:11" x14ac:dyDescent="0.3">
      <c r="B283" s="109" t="s">
        <v>206</v>
      </c>
      <c r="C283" s="104" t="s">
        <v>297</v>
      </c>
      <c r="D283" s="35">
        <v>72000</v>
      </c>
      <c r="E283" s="69"/>
    </row>
    <row r="284" spans="2:11" x14ac:dyDescent="0.3">
      <c r="B284" s="109" t="s">
        <v>208</v>
      </c>
      <c r="C284" s="104" t="s">
        <v>302</v>
      </c>
      <c r="D284" s="35">
        <v>660000</v>
      </c>
      <c r="E284" s="52"/>
    </row>
    <row r="285" spans="2:11" x14ac:dyDescent="0.3">
      <c r="B285" s="37" t="s">
        <v>24</v>
      </c>
      <c r="C285" s="37"/>
      <c r="D285" s="37"/>
      <c r="E285" s="37">
        <f>SUM(D280:D284)</f>
        <v>1514000</v>
      </c>
    </row>
    <row r="286" spans="2:11" x14ac:dyDescent="0.3">
      <c r="B286" s="60"/>
      <c r="C286" s="58"/>
      <c r="D286" s="57"/>
      <c r="E286" s="57"/>
      <c r="F286" s="4"/>
      <c r="G286" s="4"/>
      <c r="H286" s="4"/>
      <c r="I286" s="4"/>
      <c r="J286" s="4"/>
      <c r="K286" s="4"/>
    </row>
    <row r="287" spans="2:11" x14ac:dyDescent="0.3">
      <c r="B287" s="153" t="s">
        <v>288</v>
      </c>
      <c r="C287" s="23"/>
      <c r="D287" s="35"/>
      <c r="E287" s="50"/>
      <c r="F287" s="4"/>
      <c r="G287" s="4"/>
      <c r="H287" s="4"/>
      <c r="I287" s="4"/>
      <c r="J287" s="4"/>
      <c r="K287" s="4"/>
    </row>
    <row r="288" spans="2:11" x14ac:dyDescent="0.3">
      <c r="B288" s="154" t="s">
        <v>209</v>
      </c>
      <c r="C288" s="155"/>
      <c r="D288" s="59"/>
      <c r="E288" s="59"/>
      <c r="F288" s="4"/>
      <c r="G288" s="4"/>
      <c r="H288" s="4"/>
      <c r="I288" s="4"/>
      <c r="J288" s="4"/>
      <c r="K288" s="4"/>
    </row>
    <row r="289" spans="2:11" x14ac:dyDescent="0.3">
      <c r="B289" s="109" t="s">
        <v>202</v>
      </c>
      <c r="C289" s="104" t="s">
        <v>303</v>
      </c>
      <c r="D289" s="35">
        <v>240000</v>
      </c>
      <c r="E289" s="50"/>
      <c r="F289" s="4"/>
      <c r="G289" s="4"/>
      <c r="H289" s="4"/>
      <c r="I289" s="4"/>
      <c r="J289" s="4"/>
      <c r="K289" s="4"/>
    </row>
    <row r="290" spans="2:11" x14ac:dyDescent="0.3">
      <c r="B290" s="109" t="s">
        <v>204</v>
      </c>
      <c r="C290" s="104" t="s">
        <v>205</v>
      </c>
      <c r="D290" s="35">
        <v>240000</v>
      </c>
    </row>
    <row r="291" spans="2:11" x14ac:dyDescent="0.3">
      <c r="B291" s="109" t="s">
        <v>211</v>
      </c>
      <c r="C291" s="104" t="s">
        <v>304</v>
      </c>
      <c r="D291" s="35">
        <v>108000</v>
      </c>
      <c r="E291" s="69"/>
    </row>
    <row r="292" spans="2:11" x14ac:dyDescent="0.3">
      <c r="B292" s="109" t="s">
        <v>212</v>
      </c>
      <c r="C292" s="104" t="s">
        <v>297</v>
      </c>
      <c r="D292" s="35">
        <v>72000</v>
      </c>
      <c r="E292" s="70"/>
    </row>
    <row r="293" spans="2:11" x14ac:dyDescent="0.3">
      <c r="B293" s="109" t="s">
        <v>208</v>
      </c>
      <c r="C293" s="104" t="s">
        <v>305</v>
      </c>
      <c r="D293" s="35">
        <v>462000</v>
      </c>
      <c r="E293" s="46"/>
    </row>
    <row r="294" spans="2:11" x14ac:dyDescent="0.3">
      <c r="B294" s="37" t="s">
        <v>24</v>
      </c>
      <c r="C294" s="37"/>
      <c r="D294" s="37"/>
      <c r="E294" s="37">
        <f>SUM(D289:D293)</f>
        <v>1122000</v>
      </c>
    </row>
    <row r="295" spans="2:11" x14ac:dyDescent="0.3">
      <c r="B295" s="60"/>
      <c r="C295" s="58"/>
      <c r="D295" s="57"/>
      <c r="E295" s="83"/>
    </row>
    <row r="296" spans="2:11" x14ac:dyDescent="0.3">
      <c r="B296" s="153" t="s">
        <v>370</v>
      </c>
      <c r="C296" s="23"/>
      <c r="D296" s="35"/>
      <c r="E296" s="28"/>
    </row>
    <row r="297" spans="2:11" x14ac:dyDescent="0.3">
      <c r="B297" s="155" t="s">
        <v>209</v>
      </c>
      <c r="C297" s="155"/>
      <c r="D297" s="59"/>
      <c r="E297" s="59"/>
    </row>
    <row r="298" spans="2:11" x14ac:dyDescent="0.3">
      <c r="B298" s="109" t="s">
        <v>202</v>
      </c>
      <c r="C298" s="104" t="s">
        <v>306</v>
      </c>
      <c r="D298" s="35">
        <v>192000</v>
      </c>
      <c r="E298" s="28"/>
      <c r="F298" s="4"/>
      <c r="G298" s="4"/>
      <c r="H298" s="4"/>
      <c r="I298" s="4"/>
      <c r="J298" s="4"/>
      <c r="K298" s="4"/>
    </row>
    <row r="299" spans="2:11" x14ac:dyDescent="0.3">
      <c r="B299" s="109" t="s">
        <v>215</v>
      </c>
      <c r="C299" s="104" t="s">
        <v>306</v>
      </c>
      <c r="D299" s="35">
        <v>192000</v>
      </c>
      <c r="E299" s="25"/>
      <c r="F299" s="4"/>
      <c r="G299" s="4"/>
      <c r="H299" s="4"/>
      <c r="I299" s="4"/>
      <c r="J299" s="4"/>
      <c r="K299" s="4"/>
    </row>
    <row r="300" spans="2:11" x14ac:dyDescent="0.3">
      <c r="B300" s="109" t="s">
        <v>214</v>
      </c>
      <c r="C300" s="104" t="s">
        <v>207</v>
      </c>
      <c r="D300" s="35">
        <v>60000</v>
      </c>
      <c r="E300" s="25"/>
      <c r="F300" s="4"/>
      <c r="G300" s="4"/>
      <c r="H300" s="4"/>
      <c r="I300" s="4"/>
      <c r="J300" s="4"/>
      <c r="K300" s="4"/>
    </row>
    <row r="301" spans="2:11" x14ac:dyDescent="0.3">
      <c r="B301" s="109" t="s">
        <v>206</v>
      </c>
      <c r="C301" s="104" t="s">
        <v>307</v>
      </c>
      <c r="D301" s="35">
        <v>30000</v>
      </c>
      <c r="E301" s="25"/>
      <c r="F301" s="4"/>
      <c r="G301" s="4"/>
      <c r="H301" s="4"/>
      <c r="I301" s="4"/>
      <c r="J301" s="4"/>
      <c r="K301" s="4"/>
    </row>
    <row r="302" spans="2:11" x14ac:dyDescent="0.3">
      <c r="B302" s="109" t="s">
        <v>208</v>
      </c>
      <c r="C302" s="104" t="s">
        <v>308</v>
      </c>
      <c r="D302" s="35">
        <v>198000</v>
      </c>
      <c r="E302" s="25"/>
      <c r="F302" s="4"/>
      <c r="G302" s="4"/>
      <c r="H302" s="4"/>
      <c r="I302" s="4"/>
      <c r="J302" s="4"/>
      <c r="K302" s="4"/>
    </row>
    <row r="303" spans="2:11" x14ac:dyDescent="0.3">
      <c r="B303" s="37" t="s">
        <v>24</v>
      </c>
      <c r="C303" s="37"/>
      <c r="D303" s="37"/>
      <c r="E303" s="37">
        <f>SUM(D298:D302)</f>
        <v>672000</v>
      </c>
      <c r="F303" s="4"/>
      <c r="G303" s="4"/>
      <c r="H303" s="4"/>
      <c r="I303" s="4"/>
      <c r="J303" s="4"/>
      <c r="K303" s="4"/>
    </row>
    <row r="304" spans="2:11" x14ac:dyDescent="0.3">
      <c r="B304" s="60"/>
      <c r="C304" s="60"/>
      <c r="D304" s="60"/>
      <c r="E304" s="58"/>
      <c r="F304" s="4"/>
      <c r="G304" s="4"/>
      <c r="H304" s="4"/>
      <c r="I304" s="4"/>
      <c r="J304" s="4"/>
      <c r="K304" s="4"/>
    </row>
    <row r="305" spans="2:11" x14ac:dyDescent="0.3">
      <c r="B305" s="112" t="s">
        <v>320</v>
      </c>
      <c r="C305" s="37"/>
      <c r="D305" s="37"/>
      <c r="E305" s="25"/>
      <c r="F305" s="4"/>
      <c r="G305" s="4"/>
      <c r="H305" s="4"/>
      <c r="I305" s="4"/>
      <c r="J305" s="4"/>
      <c r="K305" s="4"/>
    </row>
    <row r="306" spans="2:11" x14ac:dyDescent="0.3">
      <c r="B306" s="155" t="s">
        <v>283</v>
      </c>
      <c r="C306" s="155"/>
      <c r="D306" s="59"/>
      <c r="E306" s="59"/>
      <c r="F306" s="4"/>
      <c r="G306" s="4"/>
      <c r="H306" s="4"/>
      <c r="I306" s="4"/>
      <c r="J306" s="4"/>
      <c r="K306" s="4"/>
    </row>
    <row r="307" spans="2:11" x14ac:dyDescent="0.3">
      <c r="B307" s="109" t="s">
        <v>217</v>
      </c>
      <c r="C307" s="104" t="s">
        <v>349</v>
      </c>
      <c r="D307" s="35">
        <v>62000</v>
      </c>
      <c r="E307" s="25"/>
      <c r="F307" s="4"/>
      <c r="G307" s="4"/>
      <c r="H307" s="4"/>
      <c r="I307" s="4"/>
      <c r="J307" s="4"/>
      <c r="K307" s="4"/>
    </row>
    <row r="308" spans="2:11" x14ac:dyDescent="0.3">
      <c r="B308" s="109" t="s">
        <v>215</v>
      </c>
      <c r="C308" s="104" t="s">
        <v>205</v>
      </c>
      <c r="D308" s="35">
        <v>240000</v>
      </c>
      <c r="E308" s="25"/>
      <c r="F308" s="4"/>
      <c r="G308" s="4"/>
      <c r="H308" s="4"/>
      <c r="I308" s="4"/>
      <c r="J308" s="4"/>
      <c r="K308" s="4"/>
    </row>
    <row r="309" spans="2:11" x14ac:dyDescent="0.3">
      <c r="B309" s="109" t="s">
        <v>214</v>
      </c>
      <c r="C309" s="104" t="s">
        <v>294</v>
      </c>
      <c r="D309" s="35">
        <v>96000</v>
      </c>
      <c r="E309" s="25"/>
      <c r="F309" s="4"/>
      <c r="G309" s="4"/>
      <c r="H309" s="4"/>
      <c r="I309" s="4"/>
      <c r="J309" s="4"/>
      <c r="K309" s="4"/>
    </row>
    <row r="310" spans="2:11" x14ac:dyDescent="0.3">
      <c r="B310" s="109" t="s">
        <v>206</v>
      </c>
      <c r="C310" s="104" t="s">
        <v>297</v>
      </c>
      <c r="D310" s="35">
        <v>72000</v>
      </c>
      <c r="E310" s="25"/>
      <c r="F310" s="4"/>
      <c r="G310" s="4"/>
      <c r="H310" s="4"/>
      <c r="I310" s="4"/>
      <c r="J310" s="4"/>
      <c r="K310" s="4"/>
    </row>
    <row r="311" spans="2:11" x14ac:dyDescent="0.3">
      <c r="B311" s="109" t="s">
        <v>208</v>
      </c>
      <c r="C311" s="104" t="s">
        <v>309</v>
      </c>
      <c r="D311" s="35">
        <v>343000</v>
      </c>
      <c r="E311" s="25"/>
      <c r="F311" s="4"/>
      <c r="G311" s="4"/>
      <c r="H311" s="4"/>
      <c r="I311" s="4"/>
      <c r="J311" s="4"/>
      <c r="K311" s="4"/>
    </row>
    <row r="312" spans="2:11" x14ac:dyDescent="0.3">
      <c r="B312" s="37" t="s">
        <v>24</v>
      </c>
      <c r="C312" s="37"/>
      <c r="D312" s="37"/>
      <c r="E312" s="37">
        <f>SUM(D307:D311)</f>
        <v>813000</v>
      </c>
      <c r="F312" s="4"/>
      <c r="G312" s="4"/>
      <c r="H312" s="4"/>
      <c r="I312" s="4"/>
      <c r="J312" s="4"/>
      <c r="K312" s="4"/>
    </row>
    <row r="313" spans="2:11" x14ac:dyDescent="0.3">
      <c r="B313" s="60"/>
      <c r="C313" s="60"/>
      <c r="D313" s="60"/>
      <c r="E313" s="58"/>
      <c r="F313" s="4"/>
      <c r="G313" s="4"/>
      <c r="H313" s="4"/>
      <c r="I313" s="4"/>
      <c r="J313" s="4"/>
      <c r="K313" s="4"/>
    </row>
    <row r="314" spans="2:11" x14ac:dyDescent="0.3">
      <c r="B314" s="112" t="s">
        <v>284</v>
      </c>
      <c r="C314" s="37"/>
      <c r="D314" s="37"/>
      <c r="E314" s="25"/>
      <c r="F314" s="4"/>
      <c r="G314" s="4"/>
      <c r="H314" s="4"/>
      <c r="I314" s="4"/>
      <c r="J314" s="4"/>
      <c r="K314" s="4"/>
    </row>
    <row r="315" spans="2:11" x14ac:dyDescent="0.3">
      <c r="B315" s="155" t="s">
        <v>213</v>
      </c>
      <c r="C315" s="155"/>
      <c r="D315" s="59"/>
      <c r="E315" s="59"/>
      <c r="F315" s="4"/>
      <c r="G315" s="4"/>
      <c r="H315" s="4"/>
      <c r="I315" s="4"/>
      <c r="J315" s="4"/>
      <c r="K315" s="4"/>
    </row>
    <row r="316" spans="2:11" x14ac:dyDescent="0.3">
      <c r="B316" s="109" t="s">
        <v>217</v>
      </c>
      <c r="C316" s="104" t="s">
        <v>349</v>
      </c>
      <c r="D316" s="35">
        <v>62000</v>
      </c>
      <c r="E316" s="25"/>
      <c r="F316" s="4"/>
      <c r="G316" s="4"/>
      <c r="H316" s="4"/>
      <c r="I316" s="4"/>
      <c r="J316" s="4"/>
      <c r="K316" s="4"/>
    </row>
    <row r="317" spans="2:11" x14ac:dyDescent="0.3">
      <c r="B317" s="109" t="s">
        <v>215</v>
      </c>
      <c r="C317" s="104" t="s">
        <v>205</v>
      </c>
      <c r="D317" s="35">
        <v>240000</v>
      </c>
      <c r="E317" s="25"/>
      <c r="F317" s="4"/>
      <c r="G317" s="4"/>
      <c r="H317" s="4"/>
      <c r="I317" s="4"/>
      <c r="J317" s="4"/>
      <c r="K317" s="4"/>
    </row>
    <row r="318" spans="2:11" x14ac:dyDescent="0.3">
      <c r="B318" s="109" t="s">
        <v>214</v>
      </c>
      <c r="C318" s="104" t="s">
        <v>294</v>
      </c>
      <c r="D318" s="35">
        <v>96000</v>
      </c>
      <c r="E318" s="25"/>
      <c r="F318" s="4"/>
      <c r="G318" s="4"/>
      <c r="H318" s="4"/>
      <c r="I318" s="4"/>
      <c r="J318" s="4"/>
      <c r="K318" s="4"/>
    </row>
    <row r="319" spans="2:11" x14ac:dyDescent="0.3">
      <c r="B319" s="109" t="s">
        <v>206</v>
      </c>
      <c r="C319" s="104" t="s">
        <v>297</v>
      </c>
      <c r="D319" s="35">
        <v>72000</v>
      </c>
      <c r="E319" s="25"/>
      <c r="F319" s="4"/>
      <c r="G319" s="4"/>
      <c r="H319" s="4"/>
      <c r="I319" s="4"/>
      <c r="J319" s="4"/>
      <c r="K319" s="4"/>
    </row>
    <row r="320" spans="2:11" x14ac:dyDescent="0.3">
      <c r="B320" s="109" t="s">
        <v>208</v>
      </c>
      <c r="C320" s="104" t="s">
        <v>309</v>
      </c>
      <c r="D320" s="35">
        <v>343000</v>
      </c>
      <c r="E320" s="25"/>
      <c r="F320" s="4"/>
      <c r="G320" s="4"/>
      <c r="H320" s="4"/>
      <c r="I320" s="4"/>
      <c r="J320" s="4"/>
      <c r="K320" s="4"/>
    </row>
    <row r="321" spans="2:11" x14ac:dyDescent="0.3">
      <c r="B321" s="37" t="s">
        <v>24</v>
      </c>
      <c r="C321" s="37"/>
      <c r="D321" s="37"/>
      <c r="E321" s="37">
        <f>SUM(D316:D320)</f>
        <v>813000</v>
      </c>
      <c r="F321" s="4"/>
      <c r="G321" s="4"/>
      <c r="H321" s="4"/>
      <c r="I321" s="4"/>
      <c r="J321" s="4"/>
      <c r="K321" s="4"/>
    </row>
    <row r="322" spans="2:11" x14ac:dyDescent="0.3">
      <c r="B322" s="156"/>
      <c r="C322" s="60"/>
      <c r="D322" s="60"/>
      <c r="E322" s="60"/>
      <c r="F322" s="4"/>
      <c r="G322" s="4"/>
      <c r="H322" s="4"/>
      <c r="I322" s="4"/>
      <c r="J322" s="4"/>
      <c r="K322" s="4"/>
    </row>
    <row r="323" spans="2:11" x14ac:dyDescent="0.3">
      <c r="B323" s="112" t="s">
        <v>285</v>
      </c>
      <c r="C323" s="37"/>
      <c r="D323" s="37"/>
      <c r="E323" s="37"/>
      <c r="F323" s="4"/>
      <c r="G323" s="4"/>
      <c r="H323" s="4"/>
      <c r="I323" s="4"/>
      <c r="J323" s="4"/>
      <c r="K323" s="4"/>
    </row>
    <row r="324" spans="2:11" x14ac:dyDescent="0.3">
      <c r="B324" s="155" t="s">
        <v>209</v>
      </c>
      <c r="C324" s="155"/>
      <c r="D324" s="59"/>
      <c r="E324" s="59"/>
      <c r="F324" s="4"/>
      <c r="G324" s="4"/>
      <c r="H324" s="4"/>
      <c r="I324" s="4"/>
      <c r="J324" s="4"/>
      <c r="K324" s="4"/>
    </row>
    <row r="325" spans="2:11" x14ac:dyDescent="0.3">
      <c r="B325" s="109" t="s">
        <v>215</v>
      </c>
      <c r="C325" s="104" t="s">
        <v>303</v>
      </c>
      <c r="D325" s="35">
        <v>324000</v>
      </c>
      <c r="E325" s="25"/>
      <c r="F325" s="4"/>
      <c r="G325" s="4"/>
      <c r="H325" s="4"/>
      <c r="I325" s="4"/>
      <c r="J325" s="4"/>
      <c r="K325" s="4"/>
    </row>
    <row r="326" spans="2:11" x14ac:dyDescent="0.3">
      <c r="B326" s="109" t="s">
        <v>214</v>
      </c>
      <c r="C326" s="104" t="s">
        <v>294</v>
      </c>
      <c r="D326" s="35">
        <v>96000</v>
      </c>
      <c r="E326" s="25"/>
      <c r="F326" s="4"/>
      <c r="G326" s="4"/>
      <c r="H326" s="4"/>
      <c r="I326" s="4"/>
      <c r="J326" s="4"/>
      <c r="K326" s="4"/>
    </row>
    <row r="327" spans="2:11" x14ac:dyDescent="0.3">
      <c r="B327" s="109" t="s">
        <v>206</v>
      </c>
      <c r="C327" s="104" t="s">
        <v>297</v>
      </c>
      <c r="D327" s="35">
        <v>72000</v>
      </c>
      <c r="E327" s="25"/>
      <c r="F327" s="4"/>
      <c r="G327" s="4"/>
      <c r="H327" s="4"/>
      <c r="I327" s="4"/>
      <c r="J327" s="4"/>
      <c r="K327" s="4"/>
    </row>
    <row r="328" spans="2:11" x14ac:dyDescent="0.3">
      <c r="B328" s="109" t="s">
        <v>208</v>
      </c>
      <c r="C328" s="104" t="s">
        <v>310</v>
      </c>
      <c r="D328" s="35">
        <v>330000</v>
      </c>
      <c r="E328" s="25"/>
      <c r="F328" s="4"/>
      <c r="G328" s="4"/>
      <c r="H328" s="4"/>
      <c r="I328" s="4"/>
      <c r="J328" s="4"/>
      <c r="K328" s="4"/>
    </row>
    <row r="329" spans="2:11" x14ac:dyDescent="0.3">
      <c r="B329" s="37" t="s">
        <v>24</v>
      </c>
      <c r="C329" s="37"/>
      <c r="D329" s="37"/>
      <c r="E329" s="37">
        <f>SUM(D325:D328)</f>
        <v>822000</v>
      </c>
      <c r="F329" s="4"/>
      <c r="G329" s="4"/>
      <c r="H329" s="4"/>
      <c r="I329" s="4"/>
      <c r="J329" s="4"/>
      <c r="K329" s="4"/>
    </row>
    <row r="330" spans="2:11" x14ac:dyDescent="0.3">
      <c r="B330" s="156"/>
      <c r="C330" s="60"/>
      <c r="D330" s="60"/>
      <c r="E330" s="60"/>
      <c r="F330" s="4"/>
      <c r="G330" s="4"/>
      <c r="H330" s="4"/>
      <c r="I330" s="4"/>
      <c r="J330" s="4"/>
      <c r="K330" s="4"/>
    </row>
    <row r="331" spans="2:11" x14ac:dyDescent="0.3">
      <c r="B331" s="153" t="s">
        <v>287</v>
      </c>
      <c r="C331" s="23"/>
      <c r="D331" s="35"/>
      <c r="E331" s="37"/>
      <c r="F331" s="4"/>
      <c r="G331" s="4"/>
      <c r="H331" s="4"/>
      <c r="I331" s="4"/>
      <c r="J331" s="4"/>
      <c r="K331" s="4"/>
    </row>
    <row r="332" spans="2:11" x14ac:dyDescent="0.3">
      <c r="B332" s="154" t="s">
        <v>220</v>
      </c>
      <c r="C332" s="155"/>
      <c r="D332" s="59"/>
      <c r="E332" s="59"/>
      <c r="F332" s="4"/>
      <c r="G332" s="4"/>
      <c r="H332" s="4"/>
      <c r="I332" s="4"/>
      <c r="J332" s="4"/>
      <c r="K332" s="4"/>
    </row>
    <row r="333" spans="2:11" x14ac:dyDescent="0.3">
      <c r="B333" s="109" t="s">
        <v>217</v>
      </c>
      <c r="C333" s="104" t="s">
        <v>297</v>
      </c>
      <c r="D333" s="35">
        <v>72000</v>
      </c>
      <c r="E333" s="25"/>
      <c r="F333" s="4"/>
      <c r="G333" s="4"/>
      <c r="H333" s="4"/>
      <c r="I333" s="4"/>
      <c r="J333" s="4"/>
      <c r="K333" s="4"/>
    </row>
    <row r="334" spans="2:11" x14ac:dyDescent="0.3">
      <c r="B334" s="109" t="s">
        <v>218</v>
      </c>
      <c r="C334" s="104" t="s">
        <v>313</v>
      </c>
      <c r="D334" s="35">
        <v>680000</v>
      </c>
      <c r="E334" s="25"/>
      <c r="F334" s="4"/>
      <c r="G334" s="4"/>
      <c r="H334" s="4"/>
      <c r="I334" s="4"/>
      <c r="J334" s="4"/>
      <c r="K334" s="4"/>
    </row>
    <row r="335" spans="2:11" x14ac:dyDescent="0.3">
      <c r="B335" s="109" t="s">
        <v>204</v>
      </c>
      <c r="C335" s="104" t="s">
        <v>303</v>
      </c>
      <c r="D335" s="35">
        <f>2000*135%*120</f>
        <v>324000</v>
      </c>
      <c r="E335" s="25"/>
      <c r="F335" s="4"/>
      <c r="G335" s="4"/>
      <c r="H335" s="4"/>
      <c r="I335" s="4"/>
      <c r="J335" s="4"/>
      <c r="K335" s="4"/>
    </row>
    <row r="336" spans="2:11" x14ac:dyDescent="0.3">
      <c r="B336" s="109" t="s">
        <v>203</v>
      </c>
      <c r="C336" s="104" t="s">
        <v>306</v>
      </c>
      <c r="D336" s="35">
        <v>192000</v>
      </c>
      <c r="E336" s="25"/>
      <c r="F336" s="4"/>
      <c r="G336" s="4"/>
      <c r="H336" s="4"/>
      <c r="I336" s="4"/>
      <c r="J336" s="4"/>
      <c r="K336" s="4"/>
    </row>
    <row r="337" spans="2:11" x14ac:dyDescent="0.3">
      <c r="B337" s="109" t="s">
        <v>206</v>
      </c>
      <c r="C337" s="104" t="s">
        <v>311</v>
      </c>
      <c r="D337" s="35">
        <v>130000</v>
      </c>
      <c r="E337" s="25"/>
      <c r="F337" s="4"/>
      <c r="G337" s="4"/>
      <c r="H337" s="4"/>
      <c r="I337" s="4"/>
      <c r="J337" s="4"/>
      <c r="K337" s="4"/>
    </row>
    <row r="338" spans="2:11" x14ac:dyDescent="0.3">
      <c r="B338" s="109" t="s">
        <v>208</v>
      </c>
      <c r="C338" s="104" t="s">
        <v>312</v>
      </c>
      <c r="D338" s="35">
        <v>528000</v>
      </c>
      <c r="E338" s="25"/>
      <c r="F338" s="4"/>
      <c r="G338" s="4"/>
      <c r="H338" s="4"/>
      <c r="I338" s="4"/>
      <c r="J338" s="4"/>
      <c r="K338" s="4"/>
    </row>
    <row r="339" spans="2:11" x14ac:dyDescent="0.3">
      <c r="B339" s="37" t="s">
        <v>24</v>
      </c>
      <c r="C339" s="37"/>
      <c r="D339" s="37"/>
      <c r="E339" s="37">
        <f>SUM(D333:D338)</f>
        <v>1926000</v>
      </c>
      <c r="F339" s="4"/>
      <c r="G339" s="4"/>
      <c r="H339" s="4"/>
      <c r="I339" s="4"/>
      <c r="J339" s="4"/>
      <c r="K339" s="4"/>
    </row>
    <row r="340" spans="2:11" x14ac:dyDescent="0.3">
      <c r="B340" s="60"/>
      <c r="C340" s="60"/>
      <c r="D340" s="60"/>
      <c r="E340" s="60"/>
      <c r="F340" s="4"/>
      <c r="G340" s="4"/>
      <c r="H340" s="4"/>
      <c r="I340" s="4"/>
      <c r="J340" s="4"/>
      <c r="K340" s="4"/>
    </row>
    <row r="341" spans="2:11" x14ac:dyDescent="0.3">
      <c r="B341" s="112" t="s">
        <v>371</v>
      </c>
      <c r="C341" s="37"/>
      <c r="D341" s="35"/>
      <c r="E341" s="37"/>
      <c r="F341" s="4"/>
      <c r="G341" s="4"/>
      <c r="H341" s="4"/>
      <c r="I341" s="4"/>
      <c r="J341" s="4"/>
      <c r="K341" s="4"/>
    </row>
    <row r="342" spans="2:11" x14ac:dyDescent="0.3">
      <c r="B342" s="154" t="s">
        <v>219</v>
      </c>
      <c r="C342" s="155"/>
      <c r="D342" s="59"/>
      <c r="E342" s="59"/>
      <c r="F342" s="4"/>
      <c r="G342" s="4"/>
      <c r="H342" s="4"/>
      <c r="I342" s="4"/>
      <c r="J342" s="4"/>
      <c r="K342" s="4"/>
    </row>
    <row r="343" spans="2:11" x14ac:dyDescent="0.3">
      <c r="B343" s="109" t="s">
        <v>202</v>
      </c>
      <c r="C343" s="104" t="s">
        <v>205</v>
      </c>
      <c r="D343" s="35">
        <v>240000</v>
      </c>
      <c r="E343" s="25"/>
      <c r="F343" s="4"/>
      <c r="G343" s="4"/>
      <c r="H343" s="4"/>
      <c r="I343" s="4"/>
      <c r="J343" s="4"/>
      <c r="K343" s="4"/>
    </row>
    <row r="344" spans="2:11" x14ac:dyDescent="0.3">
      <c r="B344" s="109" t="s">
        <v>189</v>
      </c>
      <c r="C344" s="104" t="s">
        <v>306</v>
      </c>
      <c r="D344" s="35">
        <v>192000</v>
      </c>
      <c r="E344" s="25"/>
      <c r="F344" s="4"/>
      <c r="G344" s="4"/>
      <c r="H344" s="4"/>
      <c r="I344" s="4"/>
      <c r="J344" s="4"/>
      <c r="K344" s="4"/>
    </row>
    <row r="345" spans="2:11" x14ac:dyDescent="0.3">
      <c r="B345" s="37" t="s">
        <v>24</v>
      </c>
      <c r="C345" s="37"/>
      <c r="D345" s="37"/>
      <c r="E345" s="37">
        <f>SUM(D343:D344)</f>
        <v>432000</v>
      </c>
      <c r="F345" s="4"/>
      <c r="G345" s="4"/>
      <c r="H345" s="4"/>
      <c r="I345" s="4"/>
      <c r="J345" s="4"/>
      <c r="K345" s="4"/>
    </row>
    <row r="346" spans="2:11" x14ac:dyDescent="0.3">
      <c r="B346" s="60"/>
      <c r="C346" s="60"/>
      <c r="D346" s="60"/>
      <c r="E346" s="60"/>
      <c r="F346" s="4"/>
      <c r="G346" s="4"/>
      <c r="H346" s="4"/>
      <c r="I346" s="4"/>
      <c r="J346" s="4"/>
      <c r="K346" s="4"/>
    </row>
    <row r="347" spans="2:11" x14ac:dyDescent="0.3">
      <c r="B347" s="112" t="s">
        <v>357</v>
      </c>
      <c r="C347" s="37"/>
      <c r="D347" s="35"/>
      <c r="E347" s="152"/>
      <c r="F347" s="4"/>
      <c r="G347" s="4"/>
      <c r="H347" s="4"/>
      <c r="I347" s="4"/>
      <c r="J347" s="4"/>
      <c r="K347" s="4"/>
    </row>
    <row r="348" spans="2:11" x14ac:dyDescent="0.3">
      <c r="B348" s="154" t="s">
        <v>220</v>
      </c>
      <c r="C348" s="155"/>
      <c r="D348" s="59"/>
      <c r="E348" s="59"/>
      <c r="F348" s="4"/>
      <c r="G348" s="4"/>
      <c r="H348" s="4"/>
      <c r="I348" s="4"/>
      <c r="J348" s="4"/>
      <c r="K348" s="4"/>
    </row>
    <row r="349" spans="2:11" x14ac:dyDescent="0.3">
      <c r="B349" s="109" t="s">
        <v>202</v>
      </c>
      <c r="C349" s="104" t="s">
        <v>348</v>
      </c>
      <c r="D349" s="35">
        <v>330000</v>
      </c>
      <c r="E349" s="25"/>
      <c r="F349" s="4"/>
      <c r="G349" s="4"/>
      <c r="H349" s="4"/>
      <c r="I349" s="4"/>
      <c r="J349" s="4"/>
      <c r="K349" s="4"/>
    </row>
    <row r="350" spans="2:11" x14ac:dyDescent="0.3">
      <c r="B350" s="109" t="s">
        <v>214</v>
      </c>
      <c r="C350" s="104" t="s">
        <v>207</v>
      </c>
      <c r="D350" s="35">
        <v>60000</v>
      </c>
      <c r="E350" s="25"/>
      <c r="F350" s="4"/>
      <c r="G350" s="4"/>
      <c r="H350" s="4"/>
      <c r="I350" s="4"/>
      <c r="J350" s="4"/>
      <c r="K350" s="4"/>
    </row>
    <row r="351" spans="2:11" x14ac:dyDescent="0.3">
      <c r="B351" s="109" t="s">
        <v>215</v>
      </c>
      <c r="C351" s="104" t="s">
        <v>306</v>
      </c>
      <c r="D351" s="35">
        <v>192000</v>
      </c>
      <c r="E351" s="25"/>
      <c r="F351" s="4"/>
      <c r="G351" s="4"/>
      <c r="H351" s="4"/>
      <c r="I351" s="4"/>
      <c r="J351" s="4"/>
      <c r="K351" s="4"/>
    </row>
    <row r="352" spans="2:11" x14ac:dyDescent="0.3">
      <c r="B352" s="109" t="s">
        <v>206</v>
      </c>
      <c r="C352" s="104" t="s">
        <v>297</v>
      </c>
      <c r="D352" s="35">
        <v>72000</v>
      </c>
      <c r="E352" s="25"/>
      <c r="F352" s="4"/>
      <c r="G352" s="4"/>
      <c r="H352" s="4"/>
      <c r="I352" s="4"/>
      <c r="J352" s="4"/>
      <c r="K352" s="4"/>
    </row>
    <row r="353" spans="2:14" x14ac:dyDescent="0.3">
      <c r="B353" s="109" t="s">
        <v>208</v>
      </c>
      <c r="C353" s="104" t="s">
        <v>314</v>
      </c>
      <c r="D353" s="35">
        <v>238000</v>
      </c>
      <c r="E353" s="25"/>
      <c r="F353" s="4"/>
      <c r="G353" s="4"/>
      <c r="H353" s="4"/>
      <c r="I353" s="4"/>
      <c r="J353" s="4"/>
      <c r="K353" s="4"/>
    </row>
    <row r="354" spans="2:14" x14ac:dyDescent="0.3">
      <c r="B354" s="37" t="s">
        <v>24</v>
      </c>
      <c r="C354" s="37"/>
      <c r="D354" s="37"/>
      <c r="E354" s="37">
        <f>SUM(D349:D353)</f>
        <v>892000</v>
      </c>
      <c r="F354" s="4"/>
      <c r="G354" s="4"/>
      <c r="H354" s="4"/>
      <c r="I354" s="4"/>
      <c r="J354" s="4"/>
      <c r="K354" s="4"/>
    </row>
    <row r="355" spans="2:14" x14ac:dyDescent="0.3">
      <c r="B355" s="60"/>
      <c r="C355" s="60"/>
      <c r="D355" s="60"/>
      <c r="E355" s="60"/>
      <c r="F355" s="4"/>
      <c r="G355" s="4"/>
      <c r="H355" s="4"/>
      <c r="I355" s="4"/>
      <c r="J355" s="4"/>
      <c r="K355" s="4"/>
      <c r="N355" s="71"/>
    </row>
    <row r="356" spans="2:14" x14ac:dyDescent="0.3">
      <c r="B356" s="19" t="s">
        <v>291</v>
      </c>
      <c r="C356" s="104"/>
      <c r="D356" s="26"/>
      <c r="E356" s="25"/>
      <c r="F356" s="4"/>
      <c r="G356" s="4"/>
      <c r="H356" s="4"/>
      <c r="I356" s="4"/>
      <c r="J356" s="4"/>
      <c r="K356" s="4"/>
      <c r="N356" s="71"/>
    </row>
    <row r="357" spans="2:14" x14ac:dyDescent="0.3">
      <c r="B357" s="129" t="s">
        <v>292</v>
      </c>
      <c r="C357" s="129"/>
      <c r="D357" s="56"/>
      <c r="E357" s="56"/>
      <c r="F357" s="4"/>
      <c r="G357" s="4"/>
      <c r="H357" s="4"/>
      <c r="I357" s="4"/>
      <c r="J357" s="4"/>
      <c r="K357" s="4"/>
      <c r="N357" s="71"/>
    </row>
    <row r="358" spans="2:14" x14ac:dyDescent="0.3">
      <c r="B358" s="52" t="s">
        <v>202</v>
      </c>
      <c r="C358" s="104" t="s">
        <v>360</v>
      </c>
      <c r="D358" s="26">
        <v>590000</v>
      </c>
      <c r="E358" s="37"/>
      <c r="F358" s="4"/>
      <c r="G358" s="4"/>
      <c r="H358" s="4"/>
      <c r="I358" s="4"/>
      <c r="J358" s="4"/>
      <c r="K358" s="4"/>
      <c r="N358" s="71"/>
    </row>
    <row r="359" spans="2:14" x14ac:dyDescent="0.3">
      <c r="B359" s="52" t="s">
        <v>293</v>
      </c>
      <c r="C359" s="104" t="s">
        <v>361</v>
      </c>
      <c r="D359" s="26">
        <v>164000</v>
      </c>
      <c r="E359" s="37"/>
      <c r="F359" s="4"/>
      <c r="G359" s="4"/>
      <c r="H359" s="4"/>
      <c r="I359" s="4"/>
      <c r="J359" s="4"/>
      <c r="K359" s="4"/>
      <c r="N359" s="71"/>
    </row>
    <row r="360" spans="2:14" x14ac:dyDescent="0.3">
      <c r="B360" s="52" t="s">
        <v>295</v>
      </c>
      <c r="C360" s="104" t="s">
        <v>362</v>
      </c>
      <c r="D360" s="26">
        <v>79000</v>
      </c>
      <c r="E360" s="25"/>
      <c r="F360" s="4"/>
      <c r="G360" s="4"/>
      <c r="H360" s="4"/>
      <c r="I360" s="4"/>
      <c r="J360" s="4"/>
      <c r="K360" s="4"/>
      <c r="N360" s="71"/>
    </row>
    <row r="361" spans="2:14" x14ac:dyDescent="0.3">
      <c r="B361" s="52" t="s">
        <v>215</v>
      </c>
      <c r="C361" s="104" t="s">
        <v>308</v>
      </c>
      <c r="D361" s="26">
        <v>200000</v>
      </c>
      <c r="E361" s="25"/>
      <c r="F361" s="4"/>
      <c r="G361" s="4"/>
      <c r="H361" s="4"/>
      <c r="I361" s="4"/>
      <c r="J361" s="4"/>
      <c r="K361" s="4"/>
      <c r="N361" s="71"/>
    </row>
    <row r="362" spans="2:14" x14ac:dyDescent="0.3">
      <c r="B362" s="52" t="s">
        <v>259</v>
      </c>
      <c r="C362" s="104" t="s">
        <v>363</v>
      </c>
      <c r="D362" s="26">
        <v>52000</v>
      </c>
      <c r="E362" s="25"/>
      <c r="F362" s="4"/>
      <c r="G362" s="4"/>
      <c r="H362" s="4"/>
      <c r="I362" s="4"/>
      <c r="J362" s="4"/>
      <c r="K362" s="4"/>
      <c r="N362" s="71"/>
    </row>
    <row r="363" spans="2:14" x14ac:dyDescent="0.3">
      <c r="B363" s="52" t="s">
        <v>208</v>
      </c>
      <c r="C363" s="104" t="s">
        <v>308</v>
      </c>
      <c r="D363" s="26">
        <v>200000</v>
      </c>
      <c r="F363" s="4"/>
      <c r="G363" s="4"/>
      <c r="H363" s="4"/>
      <c r="I363" s="4"/>
      <c r="J363" s="4"/>
      <c r="K363" s="4"/>
    </row>
    <row r="364" spans="2:14" x14ac:dyDescent="0.3">
      <c r="B364" s="37" t="s">
        <v>24</v>
      </c>
      <c r="C364" s="104"/>
      <c r="D364" s="26"/>
      <c r="E364" s="37">
        <f>SUM(D358:D363)</f>
        <v>1285000</v>
      </c>
      <c r="F364" s="4"/>
      <c r="G364" s="4"/>
      <c r="H364" s="4"/>
      <c r="I364" s="4"/>
      <c r="J364" s="4"/>
      <c r="K364" s="4"/>
    </row>
    <row r="365" spans="2:14" x14ac:dyDescent="0.3">
      <c r="B365" s="60"/>
      <c r="C365" s="129"/>
      <c r="D365" s="56"/>
      <c r="E365" s="60"/>
      <c r="F365" s="4"/>
      <c r="G365" s="4"/>
      <c r="H365" s="4"/>
      <c r="I365" s="4"/>
      <c r="J365" s="4"/>
      <c r="K365" s="4"/>
    </row>
    <row r="366" spans="2:14" x14ac:dyDescent="0.3">
      <c r="B366" s="19" t="s">
        <v>364</v>
      </c>
      <c r="C366" s="104"/>
      <c r="D366" s="26"/>
      <c r="E366" s="25"/>
      <c r="F366" s="4"/>
      <c r="G366" s="4"/>
      <c r="H366" s="4"/>
      <c r="I366" s="4"/>
      <c r="J366" s="4"/>
      <c r="K366" s="4"/>
    </row>
    <row r="367" spans="2:14" x14ac:dyDescent="0.3">
      <c r="B367" s="129" t="s">
        <v>292</v>
      </c>
      <c r="C367" s="129"/>
      <c r="D367" s="56"/>
      <c r="E367" s="56"/>
      <c r="F367" s="4"/>
      <c r="G367" s="4"/>
      <c r="H367" s="4"/>
      <c r="I367" s="4"/>
      <c r="J367" s="4"/>
      <c r="K367" s="4"/>
    </row>
    <row r="368" spans="2:14" x14ac:dyDescent="0.3">
      <c r="B368" s="52" t="s">
        <v>202</v>
      </c>
      <c r="C368" s="104" t="s">
        <v>365</v>
      </c>
      <c r="D368" s="26">
        <v>250000</v>
      </c>
      <c r="E368" s="37"/>
      <c r="F368" s="4"/>
      <c r="G368" s="4"/>
      <c r="H368" s="4"/>
      <c r="I368" s="4"/>
      <c r="J368" s="4"/>
      <c r="K368" s="4"/>
    </row>
    <row r="369" spans="1:11" x14ac:dyDescent="0.3">
      <c r="B369" s="52" t="s">
        <v>293</v>
      </c>
      <c r="C369" s="104" t="s">
        <v>366</v>
      </c>
      <c r="D369" s="26">
        <v>40000</v>
      </c>
      <c r="E369" s="37"/>
      <c r="F369" s="4"/>
      <c r="G369" s="4"/>
      <c r="H369" s="4"/>
      <c r="I369" s="4"/>
      <c r="J369" s="4"/>
      <c r="K369" s="4"/>
    </row>
    <row r="370" spans="1:11" x14ac:dyDescent="0.3">
      <c r="B370" s="52" t="s">
        <v>295</v>
      </c>
      <c r="C370" s="104" t="s">
        <v>367</v>
      </c>
      <c r="D370" s="26">
        <v>20000</v>
      </c>
      <c r="E370" s="25"/>
      <c r="F370" s="8"/>
      <c r="G370" s="8"/>
      <c r="H370" s="8"/>
      <c r="I370" s="8"/>
      <c r="J370" s="8"/>
      <c r="K370" s="8"/>
    </row>
    <row r="371" spans="1:11" x14ac:dyDescent="0.3">
      <c r="B371" s="52" t="s">
        <v>215</v>
      </c>
      <c r="C371" s="104" t="s">
        <v>368</v>
      </c>
      <c r="D371" s="26">
        <v>160000</v>
      </c>
      <c r="E371" s="25"/>
      <c r="F371" s="4"/>
      <c r="G371" s="4"/>
      <c r="H371" s="4"/>
      <c r="I371" s="4"/>
      <c r="J371" s="4"/>
      <c r="K371" s="4"/>
    </row>
    <row r="372" spans="1:11" x14ac:dyDescent="0.3">
      <c r="B372" s="52" t="s">
        <v>259</v>
      </c>
      <c r="C372" s="104" t="s">
        <v>367</v>
      </c>
      <c r="D372" s="26">
        <v>20000</v>
      </c>
      <c r="E372" s="25"/>
      <c r="F372" s="8"/>
      <c r="G372" s="8"/>
      <c r="H372" s="8"/>
      <c r="I372" s="8"/>
      <c r="J372" s="8"/>
      <c r="K372" s="8"/>
    </row>
    <row r="373" spans="1:11" s="9" customFormat="1" x14ac:dyDescent="0.3">
      <c r="A373" s="84"/>
      <c r="B373" s="52" t="s">
        <v>208</v>
      </c>
      <c r="C373" s="104" t="s">
        <v>368</v>
      </c>
      <c r="D373" s="26">
        <v>160000</v>
      </c>
      <c r="E373" s="114"/>
    </row>
    <row r="374" spans="1:11" s="9" customFormat="1" x14ac:dyDescent="0.3">
      <c r="A374" s="84"/>
      <c r="B374" s="37" t="s">
        <v>24</v>
      </c>
      <c r="C374" s="104"/>
      <c r="D374" s="26"/>
      <c r="E374" s="37">
        <f>SUM(D368:D373)</f>
        <v>650000</v>
      </c>
    </row>
    <row r="375" spans="1:11" s="9" customFormat="1" x14ac:dyDescent="0.3">
      <c r="A375" s="84"/>
      <c r="B375" s="60"/>
      <c r="C375" s="129"/>
      <c r="D375" s="56"/>
      <c r="E375" s="60"/>
    </row>
    <row r="376" spans="1:11" s="9" customFormat="1" x14ac:dyDescent="0.3">
      <c r="A376" s="84"/>
      <c r="B376" s="112" t="s">
        <v>358</v>
      </c>
      <c r="C376" s="37"/>
      <c r="D376" s="35"/>
      <c r="E376" s="14"/>
    </row>
    <row r="377" spans="1:11" s="9" customFormat="1" x14ac:dyDescent="0.3">
      <c r="A377" s="84"/>
      <c r="B377" s="154" t="s">
        <v>298</v>
      </c>
      <c r="C377" s="155"/>
      <c r="D377" s="59"/>
      <c r="E377" s="59"/>
    </row>
    <row r="378" spans="1:11" s="9" customFormat="1" x14ac:dyDescent="0.3">
      <c r="A378" s="84"/>
      <c r="B378" s="109" t="s">
        <v>202</v>
      </c>
      <c r="C378" s="104" t="s">
        <v>348</v>
      </c>
      <c r="D378" s="35">
        <v>200000</v>
      </c>
      <c r="E378" s="25"/>
    </row>
    <row r="379" spans="1:11" s="9" customFormat="1" x14ac:dyDescent="0.3">
      <c r="A379" s="84"/>
      <c r="B379" s="109" t="s">
        <v>214</v>
      </c>
      <c r="C379" s="104" t="s">
        <v>207</v>
      </c>
      <c r="D379" s="35">
        <v>60000</v>
      </c>
      <c r="E379" s="25"/>
    </row>
    <row r="380" spans="1:11" s="9" customFormat="1" x14ac:dyDescent="0.3">
      <c r="A380" s="84"/>
      <c r="B380" s="109" t="s">
        <v>215</v>
      </c>
      <c r="C380" s="104" t="s">
        <v>315</v>
      </c>
      <c r="D380" s="35">
        <v>156000</v>
      </c>
      <c r="E380" s="25"/>
    </row>
    <row r="381" spans="1:11" s="9" customFormat="1" x14ac:dyDescent="0.3">
      <c r="A381" s="84"/>
      <c r="B381" s="109" t="s">
        <v>208</v>
      </c>
      <c r="C381" s="104" t="s">
        <v>308</v>
      </c>
      <c r="D381" s="35">
        <v>198000</v>
      </c>
      <c r="E381" s="25"/>
    </row>
    <row r="382" spans="1:11" s="9" customFormat="1" x14ac:dyDescent="0.3">
      <c r="A382" s="84"/>
      <c r="B382" s="37" t="s">
        <v>24</v>
      </c>
      <c r="C382" s="37"/>
      <c r="D382" s="37"/>
      <c r="E382" s="37">
        <f>SUM(D378:D381)</f>
        <v>614000</v>
      </c>
    </row>
    <row r="383" spans="1:11" x14ac:dyDescent="0.3">
      <c r="B383" s="60"/>
      <c r="C383" s="60"/>
      <c r="D383" s="60"/>
      <c r="E383" s="60"/>
      <c r="F383" s="4"/>
      <c r="G383" s="4"/>
      <c r="H383" s="4"/>
      <c r="I383" s="4"/>
      <c r="J383" s="4"/>
      <c r="K383" s="4"/>
    </row>
    <row r="384" spans="1:11" x14ac:dyDescent="0.3">
      <c r="B384" s="153" t="s">
        <v>286</v>
      </c>
      <c r="C384" s="23"/>
      <c r="D384" s="35"/>
      <c r="E384" s="28"/>
      <c r="F384" s="4"/>
      <c r="G384" s="4"/>
      <c r="H384" s="4"/>
      <c r="I384" s="4"/>
      <c r="J384" s="4"/>
      <c r="K384" s="4"/>
    </row>
    <row r="385" spans="2:11" x14ac:dyDescent="0.3">
      <c r="B385" s="109" t="s">
        <v>221</v>
      </c>
      <c r="C385" s="104" t="s">
        <v>296</v>
      </c>
      <c r="D385" s="35">
        <v>360000</v>
      </c>
      <c r="E385" s="14"/>
      <c r="F385" s="4"/>
      <c r="G385" s="4"/>
      <c r="H385" s="4"/>
      <c r="I385" s="4"/>
      <c r="J385" s="4"/>
      <c r="K385" s="4"/>
    </row>
    <row r="386" spans="2:11" x14ac:dyDescent="0.3">
      <c r="B386" s="109" t="s">
        <v>222</v>
      </c>
      <c r="C386" s="104" t="s">
        <v>210</v>
      </c>
      <c r="D386" s="35">
        <v>300000</v>
      </c>
      <c r="E386" s="28"/>
      <c r="F386" s="4"/>
      <c r="G386" s="4"/>
      <c r="H386" s="4"/>
      <c r="I386" s="4"/>
      <c r="J386" s="4"/>
      <c r="K386" s="4"/>
    </row>
    <row r="387" spans="2:11" x14ac:dyDescent="0.3">
      <c r="B387" s="109" t="s">
        <v>223</v>
      </c>
      <c r="C387" s="104" t="s">
        <v>316</v>
      </c>
      <c r="D387" s="35">
        <v>180000</v>
      </c>
      <c r="E387" s="28"/>
      <c r="F387" s="4"/>
      <c r="G387" s="4"/>
      <c r="H387" s="4"/>
      <c r="I387" s="4"/>
      <c r="J387" s="4"/>
      <c r="K387" s="4"/>
    </row>
    <row r="388" spans="2:11" x14ac:dyDescent="0.3">
      <c r="B388" s="36" t="s">
        <v>224</v>
      </c>
      <c r="C388" s="104" t="s">
        <v>317</v>
      </c>
      <c r="D388" s="35">
        <v>84000</v>
      </c>
      <c r="E388" s="28"/>
      <c r="F388" s="8"/>
      <c r="G388" s="8"/>
      <c r="H388" s="8"/>
      <c r="I388" s="8"/>
      <c r="J388" s="8"/>
      <c r="K388" s="8"/>
    </row>
    <row r="389" spans="2:11" x14ac:dyDescent="0.3">
      <c r="B389" s="32" t="s">
        <v>225</v>
      </c>
      <c r="C389" s="104" t="s">
        <v>216</v>
      </c>
      <c r="D389" s="26">
        <v>120000</v>
      </c>
      <c r="E389" s="28"/>
      <c r="F389" s="4"/>
      <c r="G389" s="4"/>
      <c r="H389" s="4"/>
      <c r="I389" s="4"/>
      <c r="J389" s="4"/>
      <c r="K389" s="4"/>
    </row>
    <row r="390" spans="2:11" x14ac:dyDescent="0.3">
      <c r="B390" s="39" t="s">
        <v>24</v>
      </c>
      <c r="C390" s="104"/>
      <c r="D390" s="26"/>
      <c r="E390" s="39">
        <f>SUM(D385:D389)</f>
        <v>1044000</v>
      </c>
      <c r="F390" s="8"/>
      <c r="G390" s="8"/>
      <c r="H390" s="8"/>
      <c r="I390" s="8"/>
      <c r="J390" s="8"/>
      <c r="K390" s="8"/>
    </row>
    <row r="391" spans="2:11" x14ac:dyDescent="0.3">
      <c r="B391" s="157"/>
      <c r="C391" s="129"/>
      <c r="D391" s="56"/>
      <c r="E391" s="60"/>
      <c r="F391" s="4"/>
      <c r="G391" s="4"/>
      <c r="H391" s="4"/>
      <c r="I391" s="4"/>
      <c r="J391" s="4"/>
      <c r="K391" s="4"/>
    </row>
    <row r="392" spans="2:11" x14ac:dyDescent="0.3">
      <c r="B392" s="112" t="s">
        <v>226</v>
      </c>
      <c r="C392" s="37"/>
      <c r="D392" s="35"/>
      <c r="E392" s="158"/>
      <c r="F392" s="4"/>
      <c r="G392" s="4"/>
      <c r="H392" s="4"/>
      <c r="I392" s="4"/>
      <c r="J392" s="4"/>
      <c r="K392" s="4"/>
    </row>
    <row r="393" spans="2:11" x14ac:dyDescent="0.3">
      <c r="B393" s="109" t="s">
        <v>227</v>
      </c>
      <c r="C393" s="104" t="s">
        <v>318</v>
      </c>
      <c r="D393" s="35">
        <v>1900000</v>
      </c>
      <c r="E393" s="66"/>
      <c r="F393" s="4"/>
      <c r="G393" s="4"/>
      <c r="H393" s="4"/>
      <c r="I393" s="4"/>
      <c r="J393" s="4"/>
      <c r="K393" s="4"/>
    </row>
    <row r="394" spans="2:11" x14ac:dyDescent="0.3">
      <c r="B394" s="37" t="s">
        <v>24</v>
      </c>
      <c r="C394" s="37"/>
      <c r="D394" s="37"/>
      <c r="E394" s="37">
        <f>SUM(D393)</f>
        <v>1900000</v>
      </c>
      <c r="F394" s="4"/>
      <c r="G394" s="4"/>
      <c r="H394" s="4"/>
      <c r="I394" s="4"/>
      <c r="J394" s="4"/>
      <c r="K394" s="4"/>
    </row>
    <row r="395" spans="2:11" x14ac:dyDescent="0.3">
      <c r="B395" s="133"/>
      <c r="C395" s="133"/>
      <c r="D395" s="133"/>
      <c r="E395" s="133"/>
      <c r="F395" s="4"/>
      <c r="G395" s="4"/>
      <c r="H395" s="4"/>
      <c r="I395" s="4"/>
      <c r="J395" s="4"/>
      <c r="K395" s="4"/>
    </row>
    <row r="396" spans="2:11" x14ac:dyDescent="0.3">
      <c r="B396" s="93"/>
      <c r="C396" s="101" t="s">
        <v>228</v>
      </c>
      <c r="D396" s="77"/>
      <c r="E396" s="78">
        <f>+E285+E294+E303+E312+E321+E329+E339+E345+E354+E364+E374+E382+E390+E394</f>
        <v>14499000</v>
      </c>
      <c r="F396" s="4"/>
      <c r="G396" s="4"/>
      <c r="H396" s="4"/>
      <c r="I396" s="4"/>
      <c r="J396" s="4"/>
      <c r="K396" s="4"/>
    </row>
    <row r="397" spans="2:11" x14ac:dyDescent="0.3">
      <c r="B397" s="93"/>
      <c r="C397" s="126" t="s">
        <v>229</v>
      </c>
      <c r="D397" s="22"/>
      <c r="E397" s="81">
        <f>+E24+E171+E236+E274+E396</f>
        <v>828036000</v>
      </c>
    </row>
    <row r="398" spans="2:11" ht="21.75" customHeight="1" x14ac:dyDescent="0.3">
      <c r="B398" s="159" t="s">
        <v>378</v>
      </c>
      <c r="C398" s="160"/>
      <c r="D398" s="91"/>
      <c r="E398" s="92">
        <v>500000</v>
      </c>
    </row>
    <row r="399" spans="2:11" ht="23.25" customHeight="1" x14ac:dyDescent="0.3">
      <c r="B399" s="93"/>
      <c r="C399" s="126" t="s">
        <v>377</v>
      </c>
      <c r="D399" s="22"/>
      <c r="E399" s="27">
        <f>+E397+E398</f>
        <v>828536000</v>
      </c>
    </row>
    <row r="400" spans="2:11" x14ac:dyDescent="0.3">
      <c r="B400" s="161"/>
      <c r="C400" s="161"/>
      <c r="D400" s="161"/>
      <c r="E400" s="161"/>
    </row>
    <row r="401" spans="2:11" x14ac:dyDescent="0.3">
      <c r="B401" s="18" t="s">
        <v>230</v>
      </c>
      <c r="C401" s="127"/>
      <c r="D401" s="14"/>
      <c r="E401" s="25"/>
      <c r="F401" s="4"/>
      <c r="G401" s="4"/>
      <c r="H401" s="4"/>
      <c r="I401" s="4"/>
      <c r="J401" s="4"/>
      <c r="K401" s="4"/>
    </row>
    <row r="402" spans="2:11" x14ac:dyDescent="0.3">
      <c r="B402" s="95" t="s">
        <v>231</v>
      </c>
      <c r="C402" s="162" t="s">
        <v>9</v>
      </c>
      <c r="D402" s="170" t="s">
        <v>232</v>
      </c>
      <c r="E402" s="171"/>
      <c r="F402" s="4"/>
      <c r="G402" s="4"/>
      <c r="H402" s="4"/>
      <c r="I402" s="4"/>
      <c r="J402" s="4"/>
      <c r="K402" s="4"/>
    </row>
    <row r="403" spans="2:11" x14ac:dyDescent="0.3">
      <c r="B403" s="163"/>
      <c r="C403" s="163"/>
      <c r="D403" s="88"/>
      <c r="E403" s="37"/>
      <c r="F403" s="4"/>
      <c r="G403" s="4"/>
      <c r="H403" s="4"/>
      <c r="I403" s="4"/>
      <c r="J403" s="4"/>
      <c r="K403" s="4"/>
    </row>
    <row r="404" spans="2:11" x14ac:dyDescent="0.3">
      <c r="B404" s="65" t="s">
        <v>233</v>
      </c>
      <c r="C404" s="22"/>
      <c r="D404" s="22">
        <f>D405</f>
        <v>19500000</v>
      </c>
      <c r="E404" s="25"/>
    </row>
    <row r="405" spans="2:11" ht="20.25" x14ac:dyDescent="0.3">
      <c r="B405" s="164" t="s">
        <v>234</v>
      </c>
      <c r="C405" s="14"/>
      <c r="D405" s="89">
        <v>19500000</v>
      </c>
      <c r="E405" s="25"/>
    </row>
    <row r="406" spans="2:11" x14ac:dyDescent="0.3">
      <c r="B406" s="65" t="s">
        <v>235</v>
      </c>
      <c r="C406" s="22"/>
      <c r="D406" s="22">
        <f>D407+D408</f>
        <v>3500000</v>
      </c>
      <c r="E406" s="25"/>
    </row>
    <row r="407" spans="2:11" ht="20.25" x14ac:dyDescent="0.3">
      <c r="B407" s="31" t="s">
        <v>236</v>
      </c>
      <c r="C407" s="14"/>
      <c r="D407" s="89">
        <v>2000000</v>
      </c>
      <c r="E407" s="25"/>
    </row>
    <row r="408" spans="2:11" ht="20.25" x14ac:dyDescent="0.3">
      <c r="B408" s="31" t="s">
        <v>237</v>
      </c>
      <c r="C408" s="14"/>
      <c r="D408" s="89">
        <v>1500000</v>
      </c>
      <c r="E408" s="36"/>
    </row>
    <row r="409" spans="2:11" x14ac:dyDescent="0.3">
      <c r="B409" s="65" t="s">
        <v>238</v>
      </c>
      <c r="C409" s="22"/>
      <c r="D409" s="22">
        <f>D410</f>
        <v>400000</v>
      </c>
      <c r="E409" s="39"/>
    </row>
    <row r="410" spans="2:11" ht="20.25" x14ac:dyDescent="0.3">
      <c r="B410" s="31" t="s">
        <v>238</v>
      </c>
      <c r="C410" s="14"/>
      <c r="D410" s="89">
        <v>400000</v>
      </c>
      <c r="E410" s="37"/>
    </row>
    <row r="411" spans="2:11" x14ac:dyDescent="0.3">
      <c r="B411" s="65" t="s">
        <v>239</v>
      </c>
      <c r="C411" s="22"/>
      <c r="D411" s="22">
        <f>D412</f>
        <v>400000</v>
      </c>
      <c r="E411" s="25"/>
    </row>
    <row r="412" spans="2:11" ht="20.25" x14ac:dyDescent="0.3">
      <c r="B412" s="31" t="s">
        <v>240</v>
      </c>
      <c r="C412" s="14"/>
      <c r="D412" s="89">
        <v>400000</v>
      </c>
    </row>
    <row r="413" spans="2:11" x14ac:dyDescent="0.3">
      <c r="B413" s="65" t="s">
        <v>241</v>
      </c>
      <c r="C413" s="22"/>
      <c r="D413" s="22">
        <f>+D414+D415+D416+D417+D418+D419+D420</f>
        <v>5750000</v>
      </c>
      <c r="E413" s="93"/>
    </row>
    <row r="414" spans="2:11" ht="20.25" x14ac:dyDescent="0.3">
      <c r="B414" s="31" t="s">
        <v>242</v>
      </c>
      <c r="C414" s="14"/>
      <c r="D414" s="89">
        <v>250000</v>
      </c>
      <c r="E414" s="80"/>
    </row>
    <row r="415" spans="2:11" ht="20.25" x14ac:dyDescent="0.3">
      <c r="B415" s="14" t="s">
        <v>243</v>
      </c>
      <c r="C415" s="14"/>
      <c r="D415" s="89">
        <v>1500000</v>
      </c>
      <c r="E415" s="61"/>
    </row>
    <row r="416" spans="2:11" ht="20.25" x14ac:dyDescent="0.3">
      <c r="B416" s="14" t="s">
        <v>244</v>
      </c>
      <c r="C416" s="14"/>
      <c r="D416" s="89">
        <v>900000</v>
      </c>
      <c r="E416" s="93"/>
    </row>
    <row r="417" spans="2:5" ht="20.25" x14ac:dyDescent="0.3">
      <c r="B417" s="14" t="s">
        <v>245</v>
      </c>
      <c r="C417" s="14"/>
      <c r="D417" s="89">
        <v>600000</v>
      </c>
      <c r="E417" s="14"/>
    </row>
    <row r="418" spans="2:5" ht="20.25" x14ac:dyDescent="0.3">
      <c r="B418" s="14" t="s">
        <v>246</v>
      </c>
      <c r="C418" s="14"/>
      <c r="D418" s="89">
        <v>250000</v>
      </c>
      <c r="E418" s="165"/>
    </row>
    <row r="419" spans="2:5" ht="20.25" x14ac:dyDescent="0.3">
      <c r="B419" s="14" t="s">
        <v>247</v>
      </c>
      <c r="C419" s="14"/>
      <c r="D419" s="89">
        <v>2000000</v>
      </c>
      <c r="E419" s="14"/>
    </row>
    <row r="420" spans="2:5" ht="20.25" x14ac:dyDescent="0.3">
      <c r="B420" s="14" t="s">
        <v>248</v>
      </c>
      <c r="C420" s="14"/>
      <c r="D420" s="89">
        <v>250000</v>
      </c>
      <c r="E420" s="27"/>
    </row>
    <row r="421" spans="2:5" x14ac:dyDescent="0.3">
      <c r="B421" s="65" t="s">
        <v>249</v>
      </c>
      <c r="C421" s="22"/>
      <c r="D421" s="22">
        <f>D422+D423+D424</f>
        <v>1100000</v>
      </c>
      <c r="E421" s="14"/>
    </row>
    <row r="422" spans="2:5" ht="20.25" x14ac:dyDescent="0.3">
      <c r="B422" s="32" t="s">
        <v>250</v>
      </c>
      <c r="C422" s="28"/>
      <c r="D422" s="89">
        <v>100000</v>
      </c>
      <c r="E422" s="14"/>
    </row>
    <row r="423" spans="2:5" ht="20.25" x14ac:dyDescent="0.3">
      <c r="B423" s="32" t="s">
        <v>251</v>
      </c>
      <c r="C423" s="28"/>
      <c r="D423" s="89">
        <v>500000</v>
      </c>
      <c r="E423" s="14"/>
    </row>
    <row r="424" spans="2:5" ht="20.25" x14ac:dyDescent="0.3">
      <c r="B424" s="32" t="s">
        <v>252</v>
      </c>
      <c r="C424" s="28"/>
      <c r="D424" s="89">
        <v>500000</v>
      </c>
      <c r="E424" s="14"/>
    </row>
    <row r="425" spans="2:5" x14ac:dyDescent="0.3">
      <c r="B425" s="41" t="s">
        <v>253</v>
      </c>
      <c r="C425" s="61"/>
      <c r="D425" s="61">
        <f>D426+D427+D428+D429+D430+D431+D432</f>
        <v>30100000</v>
      </c>
      <c r="E425" s="14"/>
    </row>
    <row r="426" spans="2:5" ht="20.25" x14ac:dyDescent="0.3">
      <c r="B426" s="28" t="s">
        <v>254</v>
      </c>
      <c r="C426" s="28"/>
      <c r="D426" s="89">
        <v>3000000</v>
      </c>
      <c r="E426" s="14"/>
    </row>
    <row r="427" spans="2:5" ht="20.25" x14ac:dyDescent="0.3">
      <c r="B427" s="28" t="s">
        <v>255</v>
      </c>
      <c r="C427" s="28"/>
      <c r="D427" s="89">
        <v>2200000</v>
      </c>
      <c r="E427" s="14"/>
    </row>
    <row r="428" spans="2:5" ht="20.25" x14ac:dyDescent="0.3">
      <c r="B428" s="32" t="s">
        <v>256</v>
      </c>
      <c r="C428" s="28"/>
      <c r="D428" s="89">
        <v>400000</v>
      </c>
      <c r="E428" s="14"/>
    </row>
    <row r="429" spans="2:5" ht="20.25" x14ac:dyDescent="0.3">
      <c r="B429" s="28" t="s">
        <v>257</v>
      </c>
      <c r="C429" s="28"/>
      <c r="D429" s="89">
        <v>6000000</v>
      </c>
      <c r="E429" s="14"/>
    </row>
    <row r="430" spans="2:5" ht="20.25" x14ac:dyDescent="0.3">
      <c r="B430" s="28" t="s">
        <v>258</v>
      </c>
      <c r="C430" s="28"/>
      <c r="D430" s="89">
        <v>7000000</v>
      </c>
      <c r="E430" s="14"/>
    </row>
    <row r="431" spans="2:5" ht="20.25" x14ac:dyDescent="0.3">
      <c r="B431" s="28" t="s">
        <v>31</v>
      </c>
      <c r="C431" s="28"/>
      <c r="D431" s="89">
        <v>2000000</v>
      </c>
      <c r="E431" s="14"/>
    </row>
    <row r="432" spans="2:5" ht="20.25" x14ac:dyDescent="0.3">
      <c r="B432" s="28" t="s">
        <v>259</v>
      </c>
      <c r="C432" s="28"/>
      <c r="D432" s="89">
        <v>9500000</v>
      </c>
      <c r="E432" s="14"/>
    </row>
    <row r="433" spans="2:11" ht="20.25" x14ac:dyDescent="0.3">
      <c r="B433" s="41" t="s">
        <v>260</v>
      </c>
      <c r="C433" s="61"/>
      <c r="D433" s="90">
        <f>+D434</f>
        <v>600000</v>
      </c>
      <c r="E433" s="14"/>
    </row>
    <row r="434" spans="2:11" ht="20.25" x14ac:dyDescent="0.3">
      <c r="B434" s="31" t="s">
        <v>289</v>
      </c>
      <c r="C434" s="14"/>
      <c r="D434" s="89">
        <v>600000</v>
      </c>
      <c r="E434" s="14"/>
    </row>
    <row r="435" spans="2:11" x14ac:dyDescent="0.3">
      <c r="B435" s="65" t="s">
        <v>261</v>
      </c>
      <c r="C435" s="22"/>
      <c r="D435" s="22">
        <f>+D436+D437</f>
        <v>1400000</v>
      </c>
      <c r="E435" s="14"/>
      <c r="F435" s="3"/>
      <c r="G435" s="3"/>
      <c r="H435" s="3"/>
      <c r="I435" s="3"/>
      <c r="J435" s="3"/>
      <c r="K435" s="3"/>
    </row>
    <row r="436" spans="2:11" ht="20.25" x14ac:dyDescent="0.3">
      <c r="B436" s="31" t="s">
        <v>262</v>
      </c>
      <c r="C436" s="14"/>
      <c r="D436" s="89">
        <v>1000000</v>
      </c>
      <c r="E436" s="14"/>
    </row>
    <row r="437" spans="2:11" ht="20.25" x14ac:dyDescent="0.3">
      <c r="B437" s="31" t="s">
        <v>263</v>
      </c>
      <c r="C437" s="14"/>
      <c r="D437" s="89">
        <v>400000</v>
      </c>
      <c r="E437" s="14"/>
    </row>
    <row r="438" spans="2:11" x14ac:dyDescent="0.3">
      <c r="B438" s="65" t="s">
        <v>264</v>
      </c>
      <c r="C438" s="22"/>
      <c r="D438" s="22">
        <f>+D439+D440+D441</f>
        <v>1700000</v>
      </c>
      <c r="E438" s="28"/>
    </row>
    <row r="439" spans="2:11" x14ac:dyDescent="0.3">
      <c r="B439" s="14" t="s">
        <v>265</v>
      </c>
      <c r="C439" s="14"/>
      <c r="D439" s="14">
        <v>800000</v>
      </c>
      <c r="E439" s="28"/>
    </row>
    <row r="440" spans="2:11" x14ac:dyDescent="0.3">
      <c r="B440" s="31" t="s">
        <v>266</v>
      </c>
      <c r="C440" s="14"/>
      <c r="D440" s="14">
        <v>300000</v>
      </c>
      <c r="E440" s="28"/>
    </row>
    <row r="441" spans="2:11" x14ac:dyDescent="0.3">
      <c r="B441" s="31" t="s">
        <v>267</v>
      </c>
      <c r="C441" s="14"/>
      <c r="D441" s="14">
        <v>600000</v>
      </c>
      <c r="E441" s="28"/>
    </row>
    <row r="442" spans="2:11" x14ac:dyDescent="0.3">
      <c r="B442" s="65" t="s">
        <v>268</v>
      </c>
      <c r="C442" s="22"/>
      <c r="D442" s="22">
        <f>+D443</f>
        <v>864000</v>
      </c>
      <c r="E442" s="28"/>
    </row>
    <row r="443" spans="2:11" x14ac:dyDescent="0.3">
      <c r="B443" s="31" t="s">
        <v>269</v>
      </c>
      <c r="C443" s="14"/>
      <c r="D443" s="14">
        <v>864000</v>
      </c>
      <c r="E443" s="28"/>
    </row>
    <row r="444" spans="2:11" x14ac:dyDescent="0.3">
      <c r="B444" s="65" t="s">
        <v>270</v>
      </c>
      <c r="C444" s="14"/>
      <c r="D444" s="14"/>
      <c r="E444" s="22"/>
    </row>
    <row r="445" spans="2:11" x14ac:dyDescent="0.3">
      <c r="B445" s="31" t="s">
        <v>271</v>
      </c>
      <c r="C445" s="14"/>
      <c r="D445" s="14"/>
      <c r="E445" s="14"/>
    </row>
    <row r="446" spans="2:11" x14ac:dyDescent="0.3">
      <c r="B446" s="65" t="s">
        <v>272</v>
      </c>
      <c r="C446" s="22">
        <f>+C448</f>
        <v>500000</v>
      </c>
      <c r="D446" s="14"/>
      <c r="E446" s="22"/>
    </row>
    <row r="447" spans="2:11" x14ac:dyDescent="0.3">
      <c r="B447" s="31" t="s">
        <v>273</v>
      </c>
      <c r="C447" s="14"/>
      <c r="D447" s="14"/>
      <c r="E447" s="14"/>
    </row>
    <row r="448" spans="2:11" x14ac:dyDescent="0.3">
      <c r="B448" s="31" t="s">
        <v>274</v>
      </c>
      <c r="C448" s="14">
        <v>500000</v>
      </c>
      <c r="D448" s="14"/>
      <c r="E448" s="14"/>
    </row>
    <row r="449" spans="2:5" x14ac:dyDescent="0.3">
      <c r="B449" s="55"/>
      <c r="C449" s="21"/>
      <c r="D449" s="82"/>
      <c r="E449" s="21"/>
    </row>
    <row r="450" spans="2:5" x14ac:dyDescent="0.3">
      <c r="B450" s="17" t="s">
        <v>275</v>
      </c>
      <c r="C450" s="22">
        <f>+C446</f>
        <v>500000</v>
      </c>
      <c r="D450" s="22">
        <f>+D404+D406+D409+D411+D413+D421+D425+D433+D435+D438+D442</f>
        <v>65314000</v>
      </c>
      <c r="E450" s="22"/>
    </row>
    <row r="451" spans="2:5" x14ac:dyDescent="0.3">
      <c r="B451" s="17"/>
      <c r="C451" s="22"/>
      <c r="D451" s="14"/>
    </row>
    <row r="452" spans="2:5" x14ac:dyDescent="0.3">
      <c r="B452" s="18" t="s">
        <v>278</v>
      </c>
      <c r="C452" s="15"/>
      <c r="D452" s="14"/>
      <c r="E452" s="14"/>
    </row>
    <row r="453" spans="2:5" x14ac:dyDescent="0.3">
      <c r="B453" s="93"/>
      <c r="C453" s="15"/>
      <c r="D453" s="14"/>
      <c r="E453" s="14"/>
    </row>
    <row r="454" spans="2:5" x14ac:dyDescent="0.3">
      <c r="B454" s="94" t="s">
        <v>3</v>
      </c>
      <c r="C454" s="18"/>
      <c r="D454" s="22">
        <f>+E24</f>
        <v>732343000</v>
      </c>
      <c r="E454" s="14"/>
    </row>
    <row r="455" spans="2:5" x14ac:dyDescent="0.3">
      <c r="B455" s="94" t="s">
        <v>276</v>
      </c>
      <c r="C455" s="18"/>
      <c r="D455" s="22">
        <f>+E171</f>
        <v>39674000</v>
      </c>
      <c r="E455" s="14"/>
    </row>
    <row r="456" spans="2:5" x14ac:dyDescent="0.3">
      <c r="B456" s="94" t="s">
        <v>5</v>
      </c>
      <c r="C456" s="18"/>
      <c r="D456" s="22">
        <f>+E236</f>
        <v>38390000</v>
      </c>
      <c r="E456" s="14"/>
    </row>
    <row r="457" spans="2:5" x14ac:dyDescent="0.3">
      <c r="B457" s="94" t="s">
        <v>277</v>
      </c>
      <c r="C457" s="18"/>
      <c r="D457" s="22">
        <f>+E274</f>
        <v>3130000</v>
      </c>
      <c r="E457" s="14"/>
    </row>
    <row r="458" spans="2:5" x14ac:dyDescent="0.3">
      <c r="B458" s="94" t="s">
        <v>6</v>
      </c>
      <c r="C458" s="18"/>
      <c r="D458" s="22">
        <f>+E396</f>
        <v>14499000</v>
      </c>
      <c r="E458" s="14"/>
    </row>
    <row r="459" spans="2:5" x14ac:dyDescent="0.3">
      <c r="B459" s="94" t="s">
        <v>8</v>
      </c>
      <c r="C459" s="18"/>
      <c r="D459" s="22">
        <f>D450</f>
        <v>65314000</v>
      </c>
      <c r="E459" s="14"/>
    </row>
    <row r="460" spans="2:5" x14ac:dyDescent="0.3">
      <c r="B460" s="94" t="s">
        <v>9</v>
      </c>
      <c r="C460" s="18"/>
      <c r="D460" s="22">
        <f>+C450</f>
        <v>500000</v>
      </c>
      <c r="E460" s="14"/>
    </row>
    <row r="461" spans="2:5" x14ac:dyDescent="0.3">
      <c r="B461" s="95"/>
      <c r="C461" s="20"/>
      <c r="D461" s="21"/>
      <c r="E461" s="21"/>
    </row>
    <row r="462" spans="2:5" x14ac:dyDescent="0.3">
      <c r="B462" s="17" t="s">
        <v>10</v>
      </c>
      <c r="C462" s="18"/>
      <c r="D462" s="22">
        <f>SUM(D454:D461)</f>
        <v>893850000</v>
      </c>
    </row>
    <row r="463" spans="2:5" x14ac:dyDescent="0.3">
      <c r="B463" s="17"/>
      <c r="C463" s="18"/>
      <c r="D463" s="22"/>
    </row>
    <row r="464" spans="2:5" x14ac:dyDescent="0.3">
      <c r="B464" s="166"/>
      <c r="C464" s="93"/>
      <c r="D464" s="93"/>
    </row>
    <row r="465" spans="2:5" x14ac:dyDescent="0.3">
      <c r="B465" s="93"/>
      <c r="C465" s="127"/>
      <c r="D465" s="14"/>
    </row>
    <row r="466" spans="2:5" x14ac:dyDescent="0.3">
      <c r="B466" s="93"/>
      <c r="C466" s="127"/>
      <c r="D466" s="14"/>
    </row>
    <row r="467" spans="2:5" ht="56.25" x14ac:dyDescent="0.3">
      <c r="B467" s="18" t="s">
        <v>386</v>
      </c>
      <c r="C467" s="167" t="s">
        <v>387</v>
      </c>
      <c r="D467" s="14"/>
    </row>
    <row r="468" spans="2:5" x14ac:dyDescent="0.3">
      <c r="B468" s="93"/>
      <c r="C468" s="167"/>
      <c r="D468" s="14"/>
    </row>
    <row r="469" spans="2:5" x14ac:dyDescent="0.3">
      <c r="B469" s="93"/>
      <c r="C469" s="127"/>
      <c r="D469" s="22"/>
      <c r="E469" s="22"/>
    </row>
  </sheetData>
  <autoFilter ref="A1:E469" xr:uid="{00000000-0001-0000-0000-000000000000}">
    <filterColumn colId="1" showButton="0"/>
    <filterColumn colId="2" showButton="0"/>
  </autoFilter>
  <mergeCells count="50">
    <mergeCell ref="B276:C276"/>
    <mergeCell ref="B277:C277"/>
    <mergeCell ref="B80:C80"/>
    <mergeCell ref="B1:D1"/>
    <mergeCell ref="B2:D2"/>
    <mergeCell ref="B15:E15"/>
    <mergeCell ref="B27:C27"/>
    <mergeCell ref="B199:D199"/>
    <mergeCell ref="B181:C181"/>
    <mergeCell ref="B165:C165"/>
    <mergeCell ref="B111:C111"/>
    <mergeCell ref="B28:E28"/>
    <mergeCell ref="B25:E25"/>
    <mergeCell ref="B47:E47"/>
    <mergeCell ref="B75:E75"/>
    <mergeCell ref="B60:E60"/>
    <mergeCell ref="B81:E81"/>
    <mergeCell ref="B88:E88"/>
    <mergeCell ref="B139:E139"/>
    <mergeCell ref="B144:E144"/>
    <mergeCell ref="B149:E149"/>
    <mergeCell ref="B97:E97"/>
    <mergeCell ref="B107:E107"/>
    <mergeCell ref="B112:E112"/>
    <mergeCell ref="B119:E119"/>
    <mergeCell ref="B124:E124"/>
    <mergeCell ref="B134:E134"/>
    <mergeCell ref="B260:E260"/>
    <mergeCell ref="B267:E267"/>
    <mergeCell ref="B213:E213"/>
    <mergeCell ref="B218:E218"/>
    <mergeCell ref="B222:D222"/>
    <mergeCell ref="B224:E224"/>
    <mergeCell ref="B266:C266"/>
    <mergeCell ref="D402:E402"/>
    <mergeCell ref="B37:E37"/>
    <mergeCell ref="B225:C225"/>
    <mergeCell ref="B232:E232"/>
    <mergeCell ref="B238:E238"/>
    <mergeCell ref="B253:E253"/>
    <mergeCell ref="B196:E196"/>
    <mergeCell ref="B202:E202"/>
    <mergeCell ref="B206:E206"/>
    <mergeCell ref="B208:E208"/>
    <mergeCell ref="B161:E161"/>
    <mergeCell ref="B166:E166"/>
    <mergeCell ref="B175:E175"/>
    <mergeCell ref="B186:E186"/>
    <mergeCell ref="B191:E191"/>
    <mergeCell ref="B129:E129"/>
  </mergeCells>
  <phoneticPr fontId="2" type="noConversion"/>
  <pageMargins left="0.19685039370078741" right="0" top="0" bottom="0" header="0" footer="0"/>
  <pageSetup paperSize="9" scale="66" fitToHeight="0" orientation="landscape" r:id="rId1"/>
  <rowBreaks count="15" manualBreakCount="15">
    <brk id="35" max="4" man="1"/>
    <brk id="72" max="4" man="1"/>
    <brk id="95" max="4" man="1"/>
    <brk id="116" max="4" man="1"/>
    <brk id="142" max="4" man="1"/>
    <brk id="164" max="4" man="1"/>
    <brk id="194" max="4" man="1"/>
    <brk id="216" max="4" man="1"/>
    <brk id="236" max="4" man="1"/>
    <brk id="246" max="4" man="1"/>
    <brk id="274" max="4" man="1"/>
    <brk id="313" max="4" man="1"/>
    <brk id="355" max="4" man="1"/>
    <brk id="399" max="4" man="1"/>
    <brk id="43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opsezi</vt:lpstr>
      </vt:variant>
      <vt:variant>
        <vt:i4>1</vt:i4>
      </vt:variant>
    </vt:vector>
  </HeadingPairs>
  <TitlesOfParts>
    <vt:vector size="2" baseType="lpstr">
      <vt:lpstr>фЦС ПЛАН 2026.</vt:lpstr>
      <vt:lpstr>'фЦС ПЛАН 2026.'!Oblast_štampanja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Cosic</dc:creator>
  <cp:lastModifiedBy>Bojan Đurovac</cp:lastModifiedBy>
  <cp:lastPrinted>2026-05-15T11:29:58Z</cp:lastPrinted>
  <dcterms:created xsi:type="dcterms:W3CDTF">2025-07-16T08:43:49Z</dcterms:created>
  <dcterms:modified xsi:type="dcterms:W3CDTF">2026-06-10T08:06:06Z</dcterms:modified>
</cp:coreProperties>
</file>